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arwen\HAdmin\אדמיניסטרצייה - כספים\מכרזים\2024\מכרז ניקיון\"/>
    </mc:Choice>
  </mc:AlternateContent>
  <xr:revisionPtr revIDLastSave="0" documentId="13_ncr:1_{A7E7ACD6-5BAD-440A-9E65-23B2084AB892}" xr6:coauthVersionLast="36" xr6:coauthVersionMax="36" xr10:uidLastSave="{00000000-0000-0000-0000-000000000000}"/>
  <workbookProtection workbookAlgorithmName="SHA-512" workbookHashValue="XPK5OPos+Yw/957EqaExt5R3Fl/gY2aCeZe/T+nmTvwgkLDvtT9LLxUBgC6wmd178RhDwBBi6aFElrO/+Ng4/Q==" workbookSaltValue="ThlcSDKX7ntJUKHzyYwsVA==" workbookSpinCount="100000" lockStructure="1"/>
  <bookViews>
    <workbookView xWindow="0" yWindow="0" windowWidth="21600" windowHeight="9060" xr2:uid="{00000000-000D-0000-FFFF-FFFF00000000}"/>
  </bookViews>
  <sheets>
    <sheet name="חישוב תשלומים לספק" sheetId="5" r:id="rId1"/>
    <sheet name="קבועים" sheetId="6" state="hidden" r:id="rId2"/>
    <sheet name="ביטוח לאומי" sheetId="7" state="hidden" r:id="rId3"/>
    <sheet name="הבראה" sheetId="2" state="hidden" r:id="rId4"/>
    <sheet name="ותק" sheetId="8" state="hidden" r:id="rId5"/>
    <sheet name="תחשיב ערך חופשה שעתית ממוצע" sheetId="4" state="hidden" r:id="rId6"/>
  </sheets>
  <externalReferences>
    <externalReference r:id="rId7"/>
    <externalReference r:id="rId8"/>
  </externalReferences>
  <definedNames>
    <definedName name="_xlnm._FilterDatabase" localSheetId="5" hidden="1">'תחשיב ערך חופשה שעתית ממוצע'!$A$2:$G$27</definedName>
    <definedName name="_xlnm.Print_Area" localSheetId="0">'חישוב תשלומים לספק'!$A$1:$E$47</definedName>
    <definedName name="ביטוח_לאומי_מדרגה_ראשונה" localSheetId="2">'[1]תאי עזר'!$D$23</definedName>
    <definedName name="ביטוח_לאומי_מדרגה_ראשונה" localSheetId="1">'[1]תאי עזר'!$D$23</definedName>
    <definedName name="ביטוח_לאומי_מדרגה_ראשונה">'[2]תאי עזר'!$D$23</definedName>
    <definedName name="ביטוח_לאומי_מדרגה_שנייה" localSheetId="2">'[1]תאי עזר'!$D$24</definedName>
    <definedName name="ביטוח_לאומי_מדרגה_שנייה" localSheetId="1">'[1]תאי עזר'!$D$24</definedName>
    <definedName name="ביטוח_לאומי_מדרגה_שנייה">'[2]תאי עזר'!$D$24</definedName>
    <definedName name="זכאות_לתוספת_וותק" localSheetId="2">'[1]תאי עזר'!$W$29:$Y$32</definedName>
    <definedName name="זכאות_לתוספת_וותק" localSheetId="1">'[1]תאי עזר'!$W$29:$Y$32</definedName>
    <definedName name="זכאות_לתוספת_וותק">'[2]תאי עזר'!$W$29:$Y$32</definedName>
    <definedName name="ימי_חופשה" localSheetId="2">'[1]תאי עזר'!#REF!</definedName>
    <definedName name="ימי_חופשה" localSheetId="1">'[1]תאי עזר'!#REF!</definedName>
    <definedName name="ימי_חופשה">'[2]תאי עזר'!#REF!</definedName>
    <definedName name="לילה" localSheetId="2">'[1]נתונים להקלדה עובד'!#REF!</definedName>
    <definedName name="לילה" localSheetId="1">'[1]נתונים להקלדה עובד'!#REF!</definedName>
    <definedName name="לילה">'[2]נתונים להקלדה עובד'!#REF!</definedName>
    <definedName name="מ" localSheetId="2">'[1]תאי עזר'!#REF!</definedName>
    <definedName name="מ" localSheetId="1">'[1]תאי עזר'!#REF!</definedName>
    <definedName name="מ">'[2]תאי עזר'!#REF!</definedName>
    <definedName name="מס__ימי_עבודה_בשבוע" localSheetId="2">'[1]נתונים להקלדה עובד'!$D$13:$D$13</definedName>
    <definedName name="מס__ימי_עבודה_בשבוע" localSheetId="1">'[1]נתונים להקלדה עובד'!$D$13:$D$13</definedName>
    <definedName name="מס__ימי_עבודה_בשבוע">'[2]נתונים להקלדה עובד'!$D$13:$D$13</definedName>
    <definedName name="מס__ימי_עבודה_בשבוע_מפקח_אחראי_ניקיון" localSheetId="2">'[1]נתונים להקלדה עובד'!#REF!</definedName>
    <definedName name="מס__ימי_עבודה_בשבוע_מפקח_אחראי_ניקיון" localSheetId="1">'[1]נתונים להקלדה עובד'!#REF!</definedName>
    <definedName name="מס__ימי_עבודה_בשבוע_מפקח_אחראי_ניקיון">'[2]נתונים להקלדה עובד'!#REF!</definedName>
    <definedName name="מס__שעות_עבודה_ביום" localSheetId="2">'[1]נתונים להקלדה עובד'!$D$14:$D$14</definedName>
    <definedName name="מס__שעות_עבודה_ביום" localSheetId="1">'[1]נתונים להקלדה עובד'!$D$14:$D$14</definedName>
    <definedName name="מס__שעות_עבודה_ביום">'[2]נתונים להקלדה עובד'!$D$14:$D$14</definedName>
    <definedName name="מס__שעות_עבודה_ביום_מפקח_אחראי_ניקיון" localSheetId="2">'[1]נתונים להקלדה עובד'!#REF!</definedName>
    <definedName name="מס__שעות_עבודה_ביום_מפקח_אחראי_ניקיון" localSheetId="1">'[1]נתונים להקלדה עובד'!#REF!</definedName>
    <definedName name="מס__שעות_עבודה_ביום_מפקח_אחראי_ניקיון">'[2]נתונים להקלדה עובד'!#REF!</definedName>
    <definedName name="מספר_שבועות_בחודש" localSheetId="2">'[1]תאי עזר'!$D$3</definedName>
    <definedName name="מספר_שבועות_בחודש" localSheetId="1">'[1]תאי עזר'!$D$3</definedName>
    <definedName name="מספר_שבועות_בחודש">'[2]תאי עזר'!$D$3</definedName>
    <definedName name="מפקח__אחראי_ניקיון" localSheetId="2">'[1]נתונים להקלדה עובד'!#REF!</definedName>
    <definedName name="מפקח__אחראי_ניקיון" localSheetId="1">'[1]נתונים להקלדה עובד'!#REF!</definedName>
    <definedName name="מפקח__אחראי_ניקיון">'[2]נתונים להקלדה עובד'!#REF!</definedName>
    <definedName name="משרה_מלאה" localSheetId="2">'[1]תאי עזר'!$D$32</definedName>
    <definedName name="משרה_מלאה" localSheetId="1">'[1]תאי עזר'!$D$32</definedName>
    <definedName name="משרה_מלאה">'[2]תאי עזר'!$D$32</definedName>
    <definedName name="מתנות_לחג" localSheetId="2">'[1]תאי עזר'!$D$6</definedName>
    <definedName name="מתנות_לחג" localSheetId="1">'[1]תאי עזר'!$D$6</definedName>
    <definedName name="מתנות_לחג">'[2]תאי עזר'!$D$6</definedName>
    <definedName name="עלות_נסיעות_חודשית" localSheetId="2">'[1]תאי עזר'!$D$14</definedName>
    <definedName name="עלות_נסיעות_חודשית" localSheetId="1">'[1]תאי עזר'!$D$14</definedName>
    <definedName name="עלות_נסיעות_חודשית">'[2]תאי עזר'!$D$14</definedName>
    <definedName name="עלות_נסיעות_חודשית_מפקח_אחראי_ניקיון" localSheetId="2">'[1]נתונים להקלדה עובד'!#REF!</definedName>
    <definedName name="עלות_נסיעות_חודשית_מפקח_אחראי_ניקיון" localSheetId="1">'[1]נתונים להקלדה עובד'!#REF!</definedName>
    <definedName name="עלות_נסיעות_חודשית_מפקח_אחראי_ניקיון">'[2]נתונים להקלדה עובד'!#REF!</definedName>
    <definedName name="עלות_נסיעות_חודשית_עובד_יום" localSheetId="2">'[1]תאי עזר'!#REF!</definedName>
    <definedName name="עלות_נסיעות_חודשית_עובד_יום" localSheetId="1">'[1]תאי עזר'!#REF!</definedName>
    <definedName name="עלות_נסיעות_חודשית_עובד_יום">'[2]תאי עזר'!#REF!</definedName>
    <definedName name="עלות_נסיעות_חודשית_עובד_ערב" localSheetId="2">'[1]נתונים להקלדה עובד'!#REF!</definedName>
    <definedName name="עלות_נסיעות_חודשית_עובד_ערב" localSheetId="1">'[1]נתונים להקלדה עובד'!#REF!</definedName>
    <definedName name="עלות_נסיעות_חודשית_עובד_ערב">'[2]נתונים להקלדה עובד'!#REF!</definedName>
    <definedName name="ערך_הבראה_חודשי" localSheetId="2">'[1]תאי עזר'!#REF!</definedName>
    <definedName name="ערך_הבראה_חודשי" localSheetId="1">'[1]תאי עזר'!#REF!</definedName>
    <definedName name="ערך_הבראה_חודשי">'[2]תאי עזר'!#REF!</definedName>
    <definedName name="ערך_יום_הבראה" localSheetId="2">'[1]תאי עזר'!$D$11</definedName>
    <definedName name="ערך_יום_הבראה" localSheetId="1">'[1]תאי עזר'!$D$11</definedName>
    <definedName name="ערך_יום_הבראה">'[2]תאי עזר'!$D$11</definedName>
    <definedName name="קרן_השתלמות" localSheetId="2">'[1]תאי עזר'!$D$31</definedName>
    <definedName name="קרן_השתלמות" localSheetId="1">'[1]תאי עזר'!$D$31</definedName>
    <definedName name="קרן_השתלמות">'[2]תאי עזר'!$D$31</definedName>
    <definedName name="שבת" localSheetId="2">'[1]נתונים להקלדה עובד'!#REF!</definedName>
    <definedName name="שבת" localSheetId="1">'[1]נתונים להקלדה עובד'!#REF!</definedName>
    <definedName name="שבת">'[2]נתונים להקלדה עובד'!#REF!</definedName>
    <definedName name="שי_לחג" localSheetId="2">'[1]תאי עזר'!#REF!</definedName>
    <definedName name="שי_לחג" localSheetId="1">'[1]תאי עזר'!#REF!</definedName>
    <definedName name="שי_לחג">'[2]תאי עזר'!#REF!</definedName>
    <definedName name="שיעור_הפרשה_לפיצויים" localSheetId="2">'[1]תאי עזר'!$D$26</definedName>
    <definedName name="שיעור_הפרשה_לפיצויים" localSheetId="1">'[1]תאי עזר'!$D$26</definedName>
    <definedName name="שיעור_הפרשה_לפיצויים">'[2]תאי עזר'!$D$26</definedName>
    <definedName name="שיעור_הפרשה_לקצובת_נסיעות" localSheetId="2">'[1]תאי עזר'!$D$30</definedName>
    <definedName name="שיעור_הפרשה_לקצובת_נסיעות" localSheetId="1">'[1]תאי עזר'!$D$30</definedName>
    <definedName name="שיעור_הפרשה_לקצובת_נסיעות">'[2]תאי עזר'!$D$30</definedName>
    <definedName name="שיעור_הפשרה_לפנסיה" localSheetId="2">'[1]תאי עזר'!$D$25</definedName>
    <definedName name="שיעור_הפשרה_לפנסיה" localSheetId="1">'[1]תאי עזר'!$D$25</definedName>
    <definedName name="שיעור_הפשרה_לפנסיה">'[2]תאי עזר'!$D$25</definedName>
    <definedName name="שישי_מפקח_אחראי_ניקיון" localSheetId="2">'[1]נתונים להקלדה עובד'!#REF!</definedName>
    <definedName name="שישי_מפקח_אחראי_ניקיון" localSheetId="1">'[1]נתונים להקלדה עובד'!#REF!</definedName>
    <definedName name="שישי_מפקח_אחראי_ניקיון">'[2]נתונים להקלדה עובד'!#REF!</definedName>
    <definedName name="שישי_עובד_יום" localSheetId="2">'[1]נתונים להקלדה עובד'!#REF!</definedName>
    <definedName name="שישי_עובד_יום" localSheetId="1">'[1]נתונים להקלדה עובד'!#REF!</definedName>
    <definedName name="שישי_עובד_יום">'[2]נתונים להקלדה עובד'!#REF!</definedName>
    <definedName name="שישי_עובד_ערב" localSheetId="2">'[1]נתונים להקלדה עובד'!#REF!</definedName>
    <definedName name="שישי_עובד_ערב" localSheetId="1">'[1]נתונים להקלדה עובד'!#REF!</definedName>
    <definedName name="שישי_עובד_ערב">'[2]נתונים להקלדה עובד'!#REF!</definedName>
    <definedName name="שכר_שעתי_בסיס" localSheetId="2">'[1]תאי עזר'!$D$15</definedName>
    <definedName name="שכר_שעתי_בסיס" localSheetId="1">'[1]תאי עזר'!$D$15</definedName>
    <definedName name="שכר_שעתי_בסיס">'[2]תאי עזר'!$D$15</definedName>
    <definedName name="שכר_שעתי_בסיס__עובד_יום" localSheetId="2">'[1]תאי עזר'!$D$36</definedName>
    <definedName name="שכר_שעתי_בסיס__עובד_יום" localSheetId="1">'[1]תאי עזר'!$D$36</definedName>
    <definedName name="שכר_שעתי_בסיס__עובד_יום">'[2]תאי עזר'!$D$36</definedName>
    <definedName name="שכר_שעתי_בסיס__עובד_ערב" localSheetId="2">'[1]נתונים להקלדה עובד'!#REF!</definedName>
    <definedName name="שכר_שעתי_בסיס__עובד_ערב" localSheetId="1">'[1]נתונים להקלדה עובד'!#REF!</definedName>
    <definedName name="שכר_שעתי_בסיס__עובד_ערב">'[2]נתונים להקלדה עובד'!#REF!</definedName>
    <definedName name="שכר_שעתי_בסיס_לעובד" localSheetId="2">'[1]תאי עזר'!$D$36:$D$36</definedName>
    <definedName name="שכר_שעתי_בסיס_לעובד" localSheetId="1">'[1]תאי עזר'!$D$36:$D$36</definedName>
    <definedName name="שכר_שעתי_בסיס_לעובד">'[2]תאי עזר'!$D$36:$D$36</definedName>
    <definedName name="שכר_שעתי_בסיס_מפקח_אחראי_ניקיון" localSheetId="2">'[1]נתונים להקלדה עובד'!#REF!</definedName>
    <definedName name="שכר_שעתי_בסיס_מפקח_אחראי_ניקיון" localSheetId="1">'[1]נתונים להקלדה עובד'!#REF!</definedName>
    <definedName name="שכר_שעתי_בסיס_מפקח_אחראי_ניקיון">'[2]נתונים להקלדה עובד'!#REF!</definedName>
    <definedName name="שם_עובד" localSheetId="2">'[1]נתונים להקלדה עובד'!$D$11</definedName>
    <definedName name="שם_עובד" localSheetId="1">'[1]נתונים להקלדה עובד'!$D$11</definedName>
    <definedName name="שם_עובד">'[2]נתונים להקלדה עובד'!$D$11</definedName>
    <definedName name="שנות_וותק" localSheetId="2">'[1]תאי עזר'!$D$12</definedName>
    <definedName name="שנות_וותק" localSheetId="1">'[1]תאי עזר'!$D$12</definedName>
    <definedName name="שנות_וותק">'[2]תאי עזר'!$D$12</definedName>
    <definedName name="שנות_ותק" localSheetId="2">'[1]נתונים להקלדה עובד'!$D$25:$D$25</definedName>
    <definedName name="שנות_ותק" localSheetId="1">'[1]נתונים להקלדה עובד'!$D$25:$D$25</definedName>
    <definedName name="שנות_ותק">'[2]נתונים להקלדה עובד'!$D$25:$D$25</definedName>
    <definedName name="שנות_ותק_מפקח_אחראי_ניקיון" localSheetId="2">'[1]נתונים להקלדה עובד'!#REF!</definedName>
    <definedName name="שנות_ותק_מפקח_אחראי_ניקיון" localSheetId="1">'[1]נתונים להקלדה עובד'!#REF!</definedName>
    <definedName name="שנות_ותק_מפקח_אחראי_ניקיון">'[2]נתונים להקלדה עובד'!#REF!</definedName>
    <definedName name="שעות_חודשיות" localSheetId="2">'[1]תאי עזר'!$D$4</definedName>
    <definedName name="שעות_חודשיות" localSheetId="1">'[1]תאי עזר'!$D$4</definedName>
    <definedName name="שעות_חודשיות">'[2]תאי עזר'!$D$4</definedName>
    <definedName name="שעות_לחישוב_נסיעות_לשעה" localSheetId="2">'[1]תאי עזר'!$D$5</definedName>
    <definedName name="שעות_לחישוב_נסיעות_לשעה" localSheetId="1">'[1]תאי עזר'!$D$5</definedName>
    <definedName name="שעות_לחישוב_נסיעות_לשעה">'[2]תאי עזר'!$D$5</definedName>
    <definedName name="תאריך_תחילת_עבודה" localSheetId="2">'[1]נתונים להקלדה עובד'!$D$12:$D$12</definedName>
    <definedName name="תאריך_תחילת_עבודה" localSheetId="1">'[1]נתונים להקלדה עובד'!$D$12:$D$12</definedName>
    <definedName name="תאריך_תחילת_עבודה">'[2]נתונים להקלדה עובד'!$D$12:$D$12</definedName>
    <definedName name="תאריך_תחילת_עבודה_מפקח_אחראי_ניקיון" localSheetId="2">'[1]נתונים להקלדה עובד'!#REF!</definedName>
    <definedName name="תאריך_תחילת_עבודה_מפקח_אחראי_ניקיון" localSheetId="1">'[1]נתונים להקלדה עובד'!#REF!</definedName>
    <definedName name="תאריך_תחילת_עבודה_מפקח_אחראי_ניקיון">'[2]נתונים להקלדה עובד'!#REF!</definedName>
    <definedName name="תשלום_ביטוח_לאומי" localSheetId="2">'[1]תאי עזר'!#REF!</definedName>
    <definedName name="תשלום_ביטוח_לאומי" localSheetId="1">'[1]תאי עזר'!#REF!</definedName>
    <definedName name="תשלום_ביטוח_לאומי">'[2]תאי עזר'!#REF!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5" l="1"/>
  <c r="C30" i="5"/>
  <c r="D30" i="5"/>
  <c r="D3" i="7"/>
  <c r="D4" i="7"/>
  <c r="D5" i="7"/>
  <c r="D6" i="7"/>
  <c r="D9" i="7"/>
  <c r="D10" i="7"/>
  <c r="D11" i="7"/>
  <c r="D17" i="7"/>
  <c r="C3" i="7"/>
  <c r="C4" i="7"/>
  <c r="C5" i="7"/>
  <c r="C6" i="7"/>
  <c r="C9" i="7"/>
  <c r="C11" i="7" s="1"/>
  <c r="C10" i="7"/>
  <c r="C17" i="7"/>
  <c r="C23" i="5"/>
  <c r="D23" i="5"/>
  <c r="B23" i="5"/>
  <c r="C6" i="5"/>
  <c r="C17" i="5" s="1"/>
  <c r="D6" i="5"/>
  <c r="D17" i="5" s="1"/>
  <c r="C7" i="5"/>
  <c r="D7" i="5"/>
  <c r="C22" i="5"/>
  <c r="D22" i="5"/>
  <c r="C28" i="5"/>
  <c r="D28" i="5"/>
  <c r="C29" i="5"/>
  <c r="D29" i="5"/>
  <c r="D14" i="5" l="1"/>
  <c r="C14" i="5"/>
  <c r="D15" i="5"/>
  <c r="C15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3" i="4"/>
  <c r="C2" i="6"/>
  <c r="B16" i="6"/>
  <c r="D16" i="5" l="1"/>
  <c r="D15" i="7" s="1"/>
  <c r="D12" i="7"/>
  <c r="D13" i="7" s="1"/>
  <c r="C16" i="5"/>
  <c r="C15" i="7" s="1"/>
  <c r="C12" i="7"/>
  <c r="C13" i="7" s="1"/>
  <c r="B7" i="5"/>
  <c r="B22" i="5"/>
  <c r="B17" i="7"/>
  <c r="B4" i="7"/>
  <c r="B5" i="7"/>
  <c r="B3" i="7"/>
  <c r="A11" i="7"/>
  <c r="A10" i="7"/>
  <c r="B9" i="7"/>
  <c r="B10" i="7" s="1"/>
  <c r="C21" i="5" l="1"/>
  <c r="D18" i="7"/>
  <c r="D19" i="7"/>
  <c r="D21" i="5"/>
  <c r="C19" i="7"/>
  <c r="C18" i="7"/>
  <c r="B28" i="5"/>
  <c r="B29" i="5"/>
  <c r="B11" i="7"/>
  <c r="B6" i="7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3" i="4"/>
  <c r="J3" i="4"/>
  <c r="J2" i="4"/>
  <c r="C27" i="2"/>
  <c r="B17" i="6"/>
  <c r="C20" i="7" l="1"/>
  <c r="C20" i="5" s="1"/>
  <c r="D20" i="7"/>
  <c r="D20" i="5" s="1"/>
  <c r="C3" i="2"/>
  <c r="C11" i="2"/>
  <c r="C19" i="2"/>
  <c r="C2" i="2"/>
  <c r="C4" i="2"/>
  <c r="C12" i="2"/>
  <c r="C20" i="2"/>
  <c r="C7" i="2"/>
  <c r="C15" i="2"/>
  <c r="C23" i="2"/>
  <c r="C9" i="2"/>
  <c r="C25" i="2"/>
  <c r="C10" i="2"/>
  <c r="C26" i="2"/>
  <c r="C13" i="2"/>
  <c r="C6" i="2"/>
  <c r="C22" i="2"/>
  <c r="C8" i="2"/>
  <c r="C16" i="2"/>
  <c r="C24" i="2"/>
  <c r="C17" i="2"/>
  <c r="C18" i="2"/>
  <c r="C5" i="2"/>
  <c r="C21" i="2"/>
  <c r="C14" i="2"/>
  <c r="B37" i="5"/>
  <c r="B6" i="5" l="1"/>
  <c r="B14" i="5" l="1"/>
  <c r="B17" i="5"/>
  <c r="B3" i="2"/>
  <c r="B12" i="7" l="1"/>
  <c r="B13" i="7" s="1"/>
  <c r="B16" i="5"/>
  <c r="B4" i="2"/>
  <c r="B6" i="2" l="1"/>
  <c r="B7" i="2" l="1"/>
  <c r="B8" i="2" l="1"/>
  <c r="B9" i="2" l="1"/>
  <c r="B10" i="2" l="1"/>
  <c r="B11" i="2" l="1"/>
  <c r="B13" i="2" l="1"/>
  <c r="B14" i="2" l="1"/>
  <c r="B15" i="2" l="1"/>
  <c r="B16" i="2" l="1"/>
  <c r="B18" i="2" l="1"/>
  <c r="B19" i="2" l="1"/>
  <c r="B20" i="2" l="1"/>
  <c r="B22" i="2" l="1"/>
  <c r="B23" i="2" l="1"/>
  <c r="B24" i="2" l="1"/>
  <c r="B25" i="2" l="1"/>
  <c r="J5" i="4" l="1"/>
  <c r="E8" i="4" l="1"/>
  <c r="E16" i="4"/>
  <c r="F16" i="4" s="1"/>
  <c r="G16" i="4" s="1"/>
  <c r="E24" i="4"/>
  <c r="F24" i="4" s="1"/>
  <c r="G24" i="4" s="1"/>
  <c r="E9" i="4"/>
  <c r="E17" i="4"/>
  <c r="F17" i="4" s="1"/>
  <c r="G17" i="4" s="1"/>
  <c r="E25" i="4"/>
  <c r="F25" i="4" s="1"/>
  <c r="G25" i="4" s="1"/>
  <c r="E12" i="4"/>
  <c r="F12" i="4" s="1"/>
  <c r="G12" i="4" s="1"/>
  <c r="E3" i="4"/>
  <c r="F3" i="4" s="1"/>
  <c r="G3" i="4" s="1"/>
  <c r="E13" i="4"/>
  <c r="E14" i="4"/>
  <c r="F14" i="4" s="1"/>
  <c r="G14" i="4" s="1"/>
  <c r="E7" i="4"/>
  <c r="F7" i="4" s="1"/>
  <c r="G7" i="4" s="1"/>
  <c r="E23" i="4"/>
  <c r="E10" i="4"/>
  <c r="F10" i="4" s="1"/>
  <c r="G10" i="4" s="1"/>
  <c r="E18" i="4"/>
  <c r="F18" i="4" s="1"/>
  <c r="G18" i="4" s="1"/>
  <c r="E26" i="4"/>
  <c r="F26" i="4" s="1"/>
  <c r="G26" i="4" s="1"/>
  <c r="E11" i="4"/>
  <c r="F11" i="4" s="1"/>
  <c r="G11" i="4" s="1"/>
  <c r="E19" i="4"/>
  <c r="E27" i="4"/>
  <c r="F27" i="4" s="1"/>
  <c r="G27" i="4" s="1"/>
  <c r="E4" i="4"/>
  <c r="F4" i="4" s="1"/>
  <c r="G4" i="4" s="1"/>
  <c r="B15" i="5" s="1"/>
  <c r="B21" i="5" s="1"/>
  <c r="E20" i="4"/>
  <c r="E5" i="4"/>
  <c r="F5" i="4" s="1"/>
  <c r="G5" i="4" s="1"/>
  <c r="E21" i="4"/>
  <c r="F21" i="4" s="1"/>
  <c r="G21" i="4" s="1"/>
  <c r="E6" i="4"/>
  <c r="F6" i="4" s="1"/>
  <c r="G6" i="4" s="1"/>
  <c r="E22" i="4"/>
  <c r="F22" i="4" s="1"/>
  <c r="G22" i="4" s="1"/>
  <c r="E15" i="4"/>
  <c r="F15" i="4"/>
  <c r="G15" i="4" s="1"/>
  <c r="F19" i="4"/>
  <c r="G19" i="4" s="1"/>
  <c r="F23" i="4"/>
  <c r="G23" i="4" s="1"/>
  <c r="F8" i="4"/>
  <c r="F20" i="4"/>
  <c r="G20" i="4" s="1"/>
  <c r="F9" i="4"/>
  <c r="G9" i="4" s="1"/>
  <c r="F13" i="4"/>
  <c r="G13" i="4" s="1"/>
  <c r="J4" i="4"/>
  <c r="B19" i="5" l="1"/>
  <c r="D19" i="5"/>
  <c r="C19" i="5"/>
  <c r="B18" i="5"/>
  <c r="D18" i="5"/>
  <c r="C18" i="5"/>
  <c r="B15" i="7"/>
  <c r="B19" i="7" s="1"/>
  <c r="G8" i="4"/>
  <c r="D24" i="5" l="1"/>
  <c r="D27" i="5" s="1"/>
  <c r="D31" i="5" s="1"/>
  <c r="C24" i="5"/>
  <c r="C27" i="5" s="1"/>
  <c r="C31" i="5" s="1"/>
  <c r="B18" i="7"/>
  <c r="B20" i="7" s="1"/>
  <c r="B20" i="5" s="1"/>
  <c r="B24" i="5" s="1"/>
  <c r="B27" i="5" l="1"/>
  <c r="B31" i="5" l="1"/>
  <c r="B3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Asaf Malkosh</author>
  </authors>
  <commentList>
    <comment ref="A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Asaf Malkosh:</t>
        </r>
        <r>
          <rPr>
            <sz val="9"/>
            <color indexed="81"/>
            <rFont val="Tahoma"/>
            <family val="2"/>
          </rPr>
          <t xml:space="preserve">
יחושב לפי שעות עבודה רגילות בפועל</t>
        </r>
      </text>
    </comment>
  </commentList>
</comments>
</file>

<file path=xl/sharedStrings.xml><?xml version="1.0" encoding="utf-8"?>
<sst xmlns="http://schemas.openxmlformats.org/spreadsheetml/2006/main" count="99" uniqueCount="80">
  <si>
    <t>חגים</t>
  </si>
  <si>
    <t>פנסיה</t>
  </si>
  <si>
    <t>פיצויים</t>
  </si>
  <si>
    <t>ביטוח לאומי</t>
  </si>
  <si>
    <t>קרן השתלמות</t>
  </si>
  <si>
    <t>הפרשות לגמל בגין החזר הוצאות</t>
  </si>
  <si>
    <t>תקופת העבודה (בשנים)</t>
  </si>
  <si>
    <t>מספר ימי ההבראה</t>
  </si>
  <si>
    <t>עלות יום הבראה</t>
  </si>
  <si>
    <t>מספר שעות בחודש</t>
  </si>
  <si>
    <t>עלות הבראה לשעה</t>
  </si>
  <si>
    <t>חופשי חודשי</t>
  </si>
  <si>
    <t>שעות עבודה בחודש</t>
  </si>
  <si>
    <t>שנות ותק</t>
  </si>
  <si>
    <t>שכר ממוצע במשק</t>
  </si>
  <si>
    <t>60% משכר ממוצע</t>
  </si>
  <si>
    <t>שכר לביטוח לאומי</t>
  </si>
  <si>
    <t>מדרגת ביטוח לאומי 60%</t>
  </si>
  <si>
    <t>מדרגת ביטוח לאומי מעל 60%</t>
  </si>
  <si>
    <t>מענק מצוינות- כולל ביטוח לאומי</t>
  </si>
  <si>
    <t>שי לחג - כולל ביטוח לאומי</t>
  </si>
  <si>
    <t xml:space="preserve">נסיעות </t>
  </si>
  <si>
    <t>ימי החופשה השנתי</t>
  </si>
  <si>
    <t>תקן שעות שבועי</t>
  </si>
  <si>
    <t>ערך שעה</t>
  </si>
  <si>
    <t>שעות  חודשיות</t>
  </si>
  <si>
    <t>מספר שבועות החודש ממוצע</t>
  </si>
  <si>
    <t>שעות ליום</t>
  </si>
  <si>
    <t>ערך יומי</t>
  </si>
  <si>
    <t>תשלום שנתי</t>
  </si>
  <si>
    <t>תשלום שעתי</t>
  </si>
  <si>
    <t>ערך חופשה שנתית לעובד</t>
  </si>
  <si>
    <t>חודש:</t>
  </si>
  <si>
    <t>תקן חודשי:</t>
  </si>
  <si>
    <t>שם העובד:</t>
  </si>
  <si>
    <t>תאריך תחילת העסקה:</t>
  </si>
  <si>
    <t>שנות ותק:</t>
  </si>
  <si>
    <t>שכר בסיס:</t>
  </si>
  <si>
    <t>שעות עבודה בחודש:</t>
  </si>
  <si>
    <t>שעות עבודה רגילות:</t>
  </si>
  <si>
    <t>שעות 150%:</t>
  </si>
  <si>
    <t>חופשה:</t>
  </si>
  <si>
    <t>הבראה:</t>
  </si>
  <si>
    <t>ביטוח לאומי:</t>
  </si>
  <si>
    <t>סה"כ לפני עמלת קבלן</t>
  </si>
  <si>
    <t>עמלת קבלן</t>
  </si>
  <si>
    <t>תשלום עבור שעות רגילות</t>
  </si>
  <si>
    <t>תשלום עמלת קבלן</t>
  </si>
  <si>
    <t>תשלומים נוספים לקבלן לפי אישור רו"ח</t>
  </si>
  <si>
    <t>תשלום מחלה</t>
  </si>
  <si>
    <t xml:space="preserve">סה"כ </t>
  </si>
  <si>
    <t>סה"כ לקבלן כולל נוספים</t>
  </si>
  <si>
    <t>סה"כ תשלומים נוספים לקבלן</t>
  </si>
  <si>
    <t>תשלום עבור שעות נוספות 125%</t>
  </si>
  <si>
    <t>תשלום עבור שעות נוספות 150%</t>
  </si>
  <si>
    <t>שעות נוספות 125%</t>
  </si>
  <si>
    <t>תעריף נסיעות יומית</t>
  </si>
  <si>
    <t>פיצויים שעות נוספות</t>
  </si>
  <si>
    <t>שכר בסיס אחמ"ש:</t>
  </si>
  <si>
    <t>כמות ימי עובדה בחודש</t>
  </si>
  <si>
    <t>טבלת עזר לביטוח לאומי</t>
  </si>
  <si>
    <t>סיווג</t>
  </si>
  <si>
    <t>כמות שעות</t>
  </si>
  <si>
    <t>סה"כ</t>
  </si>
  <si>
    <t>תעריף</t>
  </si>
  <si>
    <t>שכר בסיס</t>
  </si>
  <si>
    <t>תוספת</t>
  </si>
  <si>
    <t>תוספת ותק:</t>
  </si>
  <si>
    <t>תוספת ותק</t>
  </si>
  <si>
    <t>ותק</t>
  </si>
  <si>
    <t>הערות</t>
  </si>
  <si>
    <t xml:space="preserve">אספקת עובד כללי לעבודת סבלות קלה (עד 25 ק"ג), בהתראה של יום עבודה מראש </t>
  </si>
  <si>
    <t>חתימת המציע:</t>
  </si>
  <si>
    <t>נא למלא את עלמת הקבלן</t>
  </si>
  <si>
    <t>₪ לשעה</t>
  </si>
  <si>
    <t>נא למלא את העלות לשעה</t>
  </si>
  <si>
    <t>עובד ניקיון</t>
  </si>
  <si>
    <t>מפקח בוקר</t>
  </si>
  <si>
    <t>מפקח ערב</t>
  </si>
  <si>
    <t>נא למלא את שכר הבסיס לכל סוג עובד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</si>
</sst>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₪&quot;\ * #,##0.00_ ;_ &quot;₪&quot;\ * \-#,##0.00_ ;_ &quot;₪&quot;\ * &quot;-&quot;??_ ;_ @_ "/>
    <numFmt numFmtId="43" formatCode="_ * #,##0.00_ ;_ * \-#,##0.00_ ;_ * &quot;-&quot;??_ ;_ @_ 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u/>
      <sz val="11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10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43" fontId="0" fillId="0" borderId="1" xfId="2" applyFont="1" applyBorder="1"/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44" fontId="4" fillId="0" borderId="1" xfId="1" applyFont="1" applyBorder="1"/>
    <xf numFmtId="0" fontId="4" fillId="4" borderId="1" xfId="0" applyFont="1" applyFill="1" applyBorder="1" applyAlignment="1">
      <alignment horizontal="left"/>
    </xf>
    <xf numFmtId="44" fontId="4" fillId="4" borderId="1" xfId="1" applyFont="1" applyFill="1" applyBorder="1"/>
    <xf numFmtId="1" fontId="0" fillId="0" borderId="1" xfId="0" applyNumberFormat="1" applyBorder="1"/>
    <xf numFmtId="44" fontId="0" fillId="0" borderId="0" xfId="0" applyNumberFormat="1" applyFill="1"/>
    <xf numFmtId="0" fontId="0" fillId="0" borderId="0" xfId="0" applyFill="1"/>
    <xf numFmtId="0" fontId="0" fillId="4" borderId="1" xfId="0" applyFill="1" applyBorder="1" applyProtection="1">
      <protection locked="0"/>
    </xf>
    <xf numFmtId="0" fontId="0" fillId="0" borderId="1" xfId="0" applyBorder="1" applyAlignment="1"/>
    <xf numFmtId="10" fontId="3" fillId="0" borderId="1" xfId="0" applyNumberFormat="1" applyFont="1" applyBorder="1"/>
    <xf numFmtId="0" fontId="0" fillId="0" borderId="1" xfId="0" applyFill="1" applyBorder="1" applyAlignment="1">
      <alignment horizontal="left"/>
    </xf>
    <xf numFmtId="44" fontId="0" fillId="0" borderId="1" xfId="1" applyFont="1" applyFill="1" applyBorder="1"/>
    <xf numFmtId="0" fontId="8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left"/>
    </xf>
    <xf numFmtId="1" fontId="10" fillId="0" borderId="1" xfId="0" applyNumberFormat="1" applyFont="1" applyBorder="1"/>
    <xf numFmtId="0" fontId="10" fillId="0" borderId="6" xfId="0" applyFont="1" applyFill="1" applyBorder="1" applyAlignment="1">
      <alignment horizontal="left"/>
    </xf>
    <xf numFmtId="1" fontId="10" fillId="0" borderId="0" xfId="0" applyNumberFormat="1" applyFont="1"/>
    <xf numFmtId="0" fontId="10" fillId="0" borderId="0" xfId="0" applyFont="1" applyFill="1" applyBorder="1" applyAlignment="1">
      <alignment horizontal="left"/>
    </xf>
    <xf numFmtId="44" fontId="10" fillId="0" borderId="0" xfId="0" applyNumberFormat="1" applyFont="1"/>
    <xf numFmtId="43" fontId="10" fillId="0" borderId="0" xfId="2" applyFont="1"/>
    <xf numFmtId="0" fontId="10" fillId="0" borderId="1" xfId="0" applyFont="1" applyBorder="1"/>
    <xf numFmtId="43" fontId="10" fillId="0" borderId="1" xfId="2" applyFont="1" applyBorder="1"/>
    <xf numFmtId="44" fontId="10" fillId="0" borderId="1" xfId="0" applyNumberFormat="1" applyFont="1" applyBorder="1"/>
    <xf numFmtId="43" fontId="10" fillId="0" borderId="0" xfId="0" applyNumberFormat="1" applyFont="1"/>
    <xf numFmtId="44" fontId="8" fillId="0" borderId="1" xfId="1" applyFont="1" applyBorder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44" fontId="0" fillId="0" borderId="0" xfId="0" applyNumberFormat="1" applyFill="1" applyProtection="1">
      <protection locked="0"/>
    </xf>
    <xf numFmtId="17" fontId="0" fillId="0" borderId="0" xfId="0" applyNumberFormat="1" applyFill="1" applyProtection="1">
      <protection locked="0"/>
    </xf>
    <xf numFmtId="44" fontId="0" fillId="3" borderId="1" xfId="1" applyFont="1" applyFill="1" applyBorder="1" applyProtection="1">
      <protection locked="0"/>
    </xf>
    <xf numFmtId="0" fontId="0" fillId="0" borderId="1" xfId="0" applyBorder="1" applyAlignment="1">
      <alignment horizontal="left"/>
    </xf>
    <xf numFmtId="0" fontId="11" fillId="0" borderId="0" xfId="0" applyFont="1" applyAlignment="1">
      <alignment horizontal="right" vertical="center" readingOrder="2"/>
    </xf>
    <xf numFmtId="0" fontId="0" fillId="0" borderId="0" xfId="0" applyAlignment="1" applyProtection="1">
      <alignment horizontal="left"/>
    </xf>
    <xf numFmtId="0" fontId="0" fillId="0" borderId="5" xfId="0" applyFont="1" applyBorder="1" applyProtection="1"/>
    <xf numFmtId="0" fontId="0" fillId="0" borderId="0" xfId="0" applyProtection="1"/>
    <xf numFmtId="0" fontId="0" fillId="0" borderId="4" xfId="0" applyBorder="1" applyProtection="1"/>
    <xf numFmtId="0" fontId="8" fillId="0" borderId="1" xfId="0" applyFont="1" applyBorder="1" applyAlignment="1" applyProtection="1">
      <alignment horizontal="left"/>
    </xf>
    <xf numFmtId="0" fontId="0" fillId="0" borderId="1" xfId="0" applyBorder="1" applyProtection="1"/>
    <xf numFmtId="14" fontId="0" fillId="0" borderId="1" xfId="0" applyNumberFormat="1" applyBorder="1" applyProtection="1"/>
    <xf numFmtId="1" fontId="0" fillId="0" borderId="1" xfId="0" applyNumberFormat="1" applyBorder="1" applyProtection="1"/>
    <xf numFmtId="43" fontId="8" fillId="0" borderId="1" xfId="2" applyFont="1" applyBorder="1" applyProtection="1"/>
    <xf numFmtId="1" fontId="10" fillId="0" borderId="1" xfId="0" applyNumberFormat="1" applyFont="1" applyBorder="1" applyProtection="1"/>
    <xf numFmtId="0" fontId="7" fillId="0" borderId="5" xfId="0" applyFont="1" applyBorder="1"/>
    <xf numFmtId="0" fontId="0" fillId="0" borderId="0" xfId="0" applyAlignment="1">
      <alignment horizontal="center"/>
    </xf>
    <xf numFmtId="44" fontId="0" fillId="3" borderId="3" xfId="1" applyFont="1" applyFill="1" applyBorder="1" applyAlignment="1" applyProtection="1">
      <alignment horizontal="center"/>
      <protection locked="0"/>
    </xf>
    <xf numFmtId="44" fontId="0" fillId="3" borderId="4" xfId="1" applyFont="1" applyFill="1" applyBorder="1" applyAlignment="1" applyProtection="1">
      <alignment horizontal="center"/>
      <protection locked="0"/>
    </xf>
    <xf numFmtId="44" fontId="0" fillId="3" borderId="7" xfId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safm\AppData\Local\Microsoft\Windows\Temporary%20Internet%20Files\Content.Outlook\1HU0JXCJ\Copy%20of%20&#1506;&#1493;&#1514;&#1511;%20&#1513;&#1500;%20&#1511;&#1489;&#1493;&#1506;&#1497;&#1501;%20&#1489;&#1510;&#1500;&#1488;&#1500;%20-%20&#1502;&#1513;&#1495;&#1511;&#1497;%20&#1490;&#1491;&#1497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fm\AppData\Local\Microsoft\Windows\Temporary%20Internet%20Files\Content.Outlook\1HU0JXCJ\Copy%20of%20&#1506;&#1493;&#1514;&#1511;%20&#1513;&#1500;%20&#1511;&#1489;&#1493;&#1506;&#1497;&#1501;%20&#1489;&#1510;&#1500;&#1488;&#1500;%20-%20&#1502;&#1513;&#1495;&#1511;&#1497;%20&#1490;&#1491;&#1497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להקלדה עובד"/>
      <sheetName val="תחשיב ערך חופשה שעתית ממוצע"/>
      <sheetName val="ריכוז שכר ותשלומים לחודש"/>
      <sheetName val="תאי עזר"/>
    </sheetNames>
    <sheetDataSet>
      <sheetData sheetId="0">
        <row r="11">
          <cell r="D11" t="str">
            <v>לא פעיל</v>
          </cell>
        </row>
        <row r="12">
          <cell r="D12">
            <v>41760</v>
          </cell>
        </row>
        <row r="13">
          <cell r="D13">
            <v>4</v>
          </cell>
        </row>
        <row r="14">
          <cell r="D14">
            <v>4</v>
          </cell>
        </row>
        <row r="25">
          <cell r="D25">
            <v>5.6712328767123283</v>
          </cell>
        </row>
      </sheetData>
      <sheetData sheetId="1"/>
      <sheetData sheetId="2"/>
      <sheetData sheetId="3">
        <row r="3">
          <cell r="D3">
            <v>4.333333333333333</v>
          </cell>
        </row>
        <row r="4">
          <cell r="D4">
            <v>0</v>
          </cell>
        </row>
        <row r="5">
          <cell r="D5">
            <v>69.333333333333329</v>
          </cell>
        </row>
        <row r="6">
          <cell r="D6">
            <v>215.4751224960369</v>
          </cell>
        </row>
        <row r="11">
          <cell r="D11">
            <v>423</v>
          </cell>
        </row>
        <row r="12">
          <cell r="D12">
            <v>5.6712328767123283</v>
          </cell>
        </row>
        <row r="15">
          <cell r="D15">
            <v>29.12</v>
          </cell>
        </row>
        <row r="23">
          <cell r="D23">
            <v>3.5499999999999997E-2</v>
          </cell>
        </row>
        <row r="24">
          <cell r="D24">
            <v>7.4999999999999997E-2</v>
          </cell>
        </row>
        <row r="25">
          <cell r="D25">
            <v>7.4999999999999997E-2</v>
          </cell>
        </row>
        <row r="26">
          <cell r="D26">
            <v>8.3299999999999999E-2</v>
          </cell>
        </row>
        <row r="29">
          <cell r="W29" t="str">
            <v>מ</v>
          </cell>
          <cell r="X29" t="str">
            <v>עד</v>
          </cell>
          <cell r="Y29" t="str">
            <v>זכאות</v>
          </cell>
        </row>
        <row r="30">
          <cell r="D30">
            <v>0.05</v>
          </cell>
          <cell r="W30">
            <v>0</v>
          </cell>
          <cell r="X30">
            <v>0.99990000000000001</v>
          </cell>
          <cell r="Y30">
            <v>0</v>
          </cell>
        </row>
        <row r="31">
          <cell r="D31">
            <v>7.4999999999999997E-2</v>
          </cell>
          <cell r="W31">
            <v>1</v>
          </cell>
          <cell r="X31">
            <v>4.99</v>
          </cell>
          <cell r="Y31">
            <v>0</v>
          </cell>
        </row>
        <row r="32">
          <cell r="D32">
            <v>182</v>
          </cell>
          <cell r="W32">
            <v>5</v>
          </cell>
          <cell r="X32">
            <v>99</v>
          </cell>
          <cell r="Y32">
            <v>0</v>
          </cell>
        </row>
        <row r="36">
          <cell r="D36">
            <v>29.12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להקלדה עובד"/>
      <sheetName val="תחשיב ערך חופשה שעתית ממוצע"/>
      <sheetName val="ריכוז שכר ותשלומים לחודש"/>
      <sheetName val="תאי עזר"/>
    </sheetNames>
    <sheetDataSet>
      <sheetData sheetId="0">
        <row r="11">
          <cell r="D11" t="str">
            <v>לא פעיל</v>
          </cell>
        </row>
        <row r="12">
          <cell r="D12">
            <v>41760</v>
          </cell>
        </row>
        <row r="13">
          <cell r="D13">
            <v>4</v>
          </cell>
        </row>
        <row r="14">
          <cell r="D14">
            <v>4</v>
          </cell>
        </row>
        <row r="25">
          <cell r="D25">
            <v>5.6712328767123283</v>
          </cell>
        </row>
      </sheetData>
      <sheetData sheetId="1"/>
      <sheetData sheetId="2"/>
      <sheetData sheetId="3">
        <row r="3">
          <cell r="D3">
            <v>4.333333333333333</v>
          </cell>
        </row>
        <row r="4">
          <cell r="D4">
            <v>0</v>
          </cell>
        </row>
        <row r="5">
          <cell r="D5">
            <v>69.333333333333329</v>
          </cell>
        </row>
        <row r="6">
          <cell r="D6">
            <v>215.4751224960369</v>
          </cell>
        </row>
        <row r="11">
          <cell r="D11">
            <v>423</v>
          </cell>
        </row>
        <row r="12">
          <cell r="D12">
            <v>5.6712328767123283</v>
          </cell>
        </row>
        <row r="15">
          <cell r="D15">
            <v>29.12</v>
          </cell>
        </row>
        <row r="23">
          <cell r="D23">
            <v>3.5499999999999997E-2</v>
          </cell>
        </row>
        <row r="24">
          <cell r="D24">
            <v>7.4999999999999997E-2</v>
          </cell>
        </row>
        <row r="25">
          <cell r="D25">
            <v>7.4999999999999997E-2</v>
          </cell>
        </row>
        <row r="26">
          <cell r="D26">
            <v>8.3299999999999999E-2</v>
          </cell>
        </row>
        <row r="29">
          <cell r="W29" t="str">
            <v>מ</v>
          </cell>
          <cell r="X29" t="str">
            <v>עד</v>
          </cell>
          <cell r="Y29" t="str">
            <v>זכאות</v>
          </cell>
        </row>
        <row r="30">
          <cell r="D30">
            <v>0.05</v>
          </cell>
          <cell r="W30">
            <v>0</v>
          </cell>
          <cell r="X30">
            <v>0.99990000000000001</v>
          </cell>
          <cell r="Y30">
            <v>0</v>
          </cell>
        </row>
        <row r="31">
          <cell r="D31">
            <v>7.4999999999999997E-2</v>
          </cell>
          <cell r="W31">
            <v>1</v>
          </cell>
          <cell r="X31">
            <v>4.99</v>
          </cell>
          <cell r="Y31">
            <v>0</v>
          </cell>
        </row>
        <row r="32">
          <cell r="D32">
            <v>182</v>
          </cell>
          <cell r="W32">
            <v>5</v>
          </cell>
          <cell r="X32">
            <v>99</v>
          </cell>
          <cell r="Y32">
            <v>0</v>
          </cell>
        </row>
        <row r="36">
          <cell r="D36">
            <v>29.12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rightToLeft="1" tabSelected="1" workbookViewId="0">
      <selection activeCell="C5" sqref="C5"/>
    </sheetView>
  </sheetViews>
  <sheetFormatPr defaultRowHeight="14.25" x14ac:dyDescent="0.2"/>
  <cols>
    <col min="1" max="1" width="29.75" style="9" bestFit="1" customWidth="1"/>
    <col min="2" max="2" width="12" bestFit="1" customWidth="1"/>
    <col min="3" max="3" width="24.875" bestFit="1" customWidth="1"/>
    <col min="4" max="4" width="12.5" bestFit="1" customWidth="1"/>
    <col min="5" max="5" width="29.875" bestFit="1" customWidth="1"/>
  </cols>
  <sheetData>
    <row r="1" spans="1:10" x14ac:dyDescent="0.2">
      <c r="A1" s="43" t="s">
        <v>32</v>
      </c>
      <c r="B1" s="44"/>
      <c r="C1" s="45"/>
    </row>
    <row r="2" spans="1:10" x14ac:dyDescent="0.2">
      <c r="A2" s="43" t="s">
        <v>33</v>
      </c>
      <c r="B2" s="46"/>
      <c r="C2" s="45"/>
    </row>
    <row r="3" spans="1:10" x14ac:dyDescent="0.2">
      <c r="A3" s="43"/>
      <c r="B3" s="45"/>
      <c r="E3" s="45" t="s">
        <v>70</v>
      </c>
    </row>
    <row r="4" spans="1:10" x14ac:dyDescent="0.2">
      <c r="A4" s="47" t="s">
        <v>34</v>
      </c>
      <c r="B4" s="48" t="s">
        <v>76</v>
      </c>
      <c r="C4" s="48" t="s">
        <v>77</v>
      </c>
      <c r="D4" s="48" t="s">
        <v>78</v>
      </c>
      <c r="E4" s="45"/>
    </row>
    <row r="5" spans="1:10" x14ac:dyDescent="0.2">
      <c r="A5" s="47" t="s">
        <v>35</v>
      </c>
      <c r="B5" s="49">
        <v>45047</v>
      </c>
      <c r="C5" s="49">
        <v>45047</v>
      </c>
      <c r="D5" s="49">
        <v>45047</v>
      </c>
      <c r="E5" s="45"/>
    </row>
    <row r="6" spans="1:10" x14ac:dyDescent="0.2">
      <c r="A6" s="47" t="s">
        <v>36</v>
      </c>
      <c r="B6" s="50">
        <f ca="1">ROUNDUP(DAYS360(B5,TODAY())/365,0)</f>
        <v>2</v>
      </c>
      <c r="C6" s="50">
        <f t="shared" ref="C6:D6" ca="1" si="0">ROUNDUP(DAYS360(C5,TODAY())/365,0)</f>
        <v>2</v>
      </c>
      <c r="D6" s="50">
        <f t="shared" ca="1" si="0"/>
        <v>2</v>
      </c>
      <c r="E6" s="45"/>
    </row>
    <row r="7" spans="1:10" x14ac:dyDescent="0.2">
      <c r="A7" s="47" t="s">
        <v>38</v>
      </c>
      <c r="B7" s="51">
        <f>SUM(B8:B10)</f>
        <v>153</v>
      </c>
      <c r="C7" s="51">
        <f t="shared" ref="C7:D7" si="1">SUM(C8:C10)</f>
        <v>153</v>
      </c>
      <c r="D7" s="51">
        <f t="shared" si="1"/>
        <v>153</v>
      </c>
      <c r="E7" s="45"/>
    </row>
    <row r="8" spans="1:10" x14ac:dyDescent="0.2">
      <c r="A8" s="47" t="s">
        <v>39</v>
      </c>
      <c r="B8" s="50">
        <v>150</v>
      </c>
      <c r="C8" s="50">
        <v>150</v>
      </c>
      <c r="D8" s="50">
        <v>150</v>
      </c>
      <c r="E8" s="45"/>
    </row>
    <row r="9" spans="1:10" x14ac:dyDescent="0.2">
      <c r="A9" s="47" t="s">
        <v>55</v>
      </c>
      <c r="B9" s="50">
        <v>2</v>
      </c>
      <c r="C9" s="50">
        <v>2</v>
      </c>
      <c r="D9" s="50">
        <v>2</v>
      </c>
      <c r="E9" s="45"/>
    </row>
    <row r="10" spans="1:10" x14ac:dyDescent="0.2">
      <c r="A10" s="47" t="s">
        <v>40</v>
      </c>
      <c r="B10" s="52">
        <v>1</v>
      </c>
      <c r="C10" s="52">
        <v>1</v>
      </c>
      <c r="D10" s="52">
        <v>1</v>
      </c>
      <c r="E10" s="45"/>
    </row>
    <row r="11" spans="1:10" x14ac:dyDescent="0.2">
      <c r="A11" s="47" t="s">
        <v>59</v>
      </c>
      <c r="B11" s="52">
        <v>20</v>
      </c>
      <c r="C11" s="52">
        <v>20</v>
      </c>
      <c r="D11" s="52">
        <v>20</v>
      </c>
      <c r="E11" s="45"/>
    </row>
    <row r="12" spans="1:10" x14ac:dyDescent="0.2">
      <c r="A12" s="41"/>
      <c r="B12" s="14"/>
      <c r="C12" s="14"/>
      <c r="D12" s="14"/>
      <c r="E12" s="37"/>
      <c r="F12" s="16"/>
      <c r="G12" s="16"/>
      <c r="H12" s="16"/>
      <c r="I12" s="16"/>
      <c r="J12" s="16"/>
    </row>
    <row r="13" spans="1:10" x14ac:dyDescent="0.2">
      <c r="A13" s="41" t="s">
        <v>37</v>
      </c>
      <c r="B13" s="40"/>
      <c r="C13" s="40"/>
      <c r="D13" s="40"/>
      <c r="E13" s="38" t="s">
        <v>79</v>
      </c>
      <c r="F13" s="16"/>
      <c r="G13" s="16"/>
      <c r="H13" s="16"/>
      <c r="I13" s="16"/>
      <c r="J13" s="16"/>
    </row>
    <row r="14" spans="1:10" x14ac:dyDescent="0.2">
      <c r="A14" s="41" t="s">
        <v>67</v>
      </c>
      <c r="B14" s="4">
        <f ca="1">VLOOKUP(B6,ותק!$A:$B,2,0)</f>
        <v>0.35</v>
      </c>
      <c r="C14" s="4">
        <f ca="1">VLOOKUP(C6,ותק!$A:$B,2,0)</f>
        <v>0.35</v>
      </c>
      <c r="D14" s="4">
        <f ca="1">VLOOKUP(D6,ותק!$A:$B,2,0)</f>
        <v>0.35</v>
      </c>
      <c r="E14" s="38"/>
      <c r="F14" s="16"/>
      <c r="G14" s="16"/>
      <c r="H14" s="16"/>
      <c r="I14" s="16"/>
      <c r="J14" s="16"/>
    </row>
    <row r="15" spans="1:10" x14ac:dyDescent="0.2">
      <c r="A15" s="41" t="s">
        <v>41</v>
      </c>
      <c r="B15" s="4">
        <f ca="1">VLOOKUP(B6,'תחשיב ערך חופשה שעתית ממוצע'!$A:$G,7,0)</f>
        <v>0.02</v>
      </c>
      <c r="C15" s="4">
        <f ca="1">VLOOKUP(C6,'תחשיב ערך חופשה שעתית ממוצע'!$A:$G,7,0)</f>
        <v>0.02</v>
      </c>
      <c r="D15" s="4">
        <f ca="1">VLOOKUP(D6,'תחשיב ערך חופשה שעתית ממוצע'!$A:$G,7,0)</f>
        <v>0.02</v>
      </c>
      <c r="E15" s="37"/>
      <c r="F15" s="16"/>
      <c r="G15" s="16"/>
      <c r="H15" s="15"/>
      <c r="I15" s="16"/>
      <c r="J15" s="16"/>
    </row>
    <row r="16" spans="1:10" x14ac:dyDescent="0.2">
      <c r="A16" s="41" t="s">
        <v>0</v>
      </c>
      <c r="B16" s="4">
        <f ca="1">VLOOKUP(A16,קבועים!$A$1:$B$17,2,0)*($B$13+B14)</f>
        <v>1.2109999999999999E-2</v>
      </c>
      <c r="C16" s="4">
        <f ca="1">VLOOKUP(A16,קבועים!$A$1:$B$17,2,0)*($C$13+C14)</f>
        <v>1.2109999999999999E-2</v>
      </c>
      <c r="D16" s="4">
        <f ca="1">VLOOKUP(A16,קבועים!$A$1:$B$17,2,0)*($D$13+D14)</f>
        <v>1.2109999999999999E-2</v>
      </c>
      <c r="E16" s="37"/>
      <c r="F16" s="16"/>
      <c r="G16" s="16"/>
      <c r="H16" s="16"/>
      <c r="I16" s="16"/>
      <c r="J16" s="16"/>
    </row>
    <row r="17" spans="1:10" x14ac:dyDescent="0.2">
      <c r="A17" s="41" t="s">
        <v>42</v>
      </c>
      <c r="B17" s="4">
        <f ca="1">VLOOKUP(B6,הבראה!$A:$C,3,0)</f>
        <v>1.64</v>
      </c>
      <c r="C17" s="4">
        <f ca="1">VLOOKUP(C6,הבראה!$A:$C,3,0)</f>
        <v>1.64</v>
      </c>
      <c r="D17" s="4">
        <f ca="1">VLOOKUP(D6,הבראה!$A:$C,3,0)</f>
        <v>1.64</v>
      </c>
      <c r="E17" s="37"/>
      <c r="F17" s="16"/>
      <c r="G17" s="16"/>
      <c r="H17" s="16"/>
      <c r="I17" s="16"/>
      <c r="J17" s="16"/>
    </row>
    <row r="18" spans="1:10" x14ac:dyDescent="0.2">
      <c r="A18" s="41" t="s">
        <v>1</v>
      </c>
      <c r="B18" s="4">
        <f ca="1">VLOOKUP($A$18,קבועים!$A$1:$B$17,2,0)*SUM($B$13:$B$17)</f>
        <v>0.15165824999999999</v>
      </c>
      <c r="C18" s="4">
        <f ca="1">VLOOKUP($A$18,קבועים!$A$1:$B$17,2,0)*SUM($B$13:$B$17)</f>
        <v>0.15165824999999999</v>
      </c>
      <c r="D18" s="4">
        <f ca="1">VLOOKUP($A$18,קבועים!$A$1:$B$17,2,0)*SUM($B$13:$B$17)</f>
        <v>0.15165824999999999</v>
      </c>
      <c r="E18" s="37"/>
      <c r="F18" s="16"/>
      <c r="G18" s="16"/>
      <c r="H18" s="16"/>
      <c r="I18" s="16"/>
      <c r="J18" s="16"/>
    </row>
    <row r="19" spans="1:10" x14ac:dyDescent="0.2">
      <c r="A19" s="41" t="s">
        <v>2</v>
      </c>
      <c r="B19" s="4">
        <f ca="1">VLOOKUP($A$19,קבועים!$A$1:$B$17,2,0)*SUM($B$13:$B$17)</f>
        <v>0.16844176299999999</v>
      </c>
      <c r="C19" s="4">
        <f ca="1">VLOOKUP($A$19,קבועים!$A$1:$B$17,2,0)*SUM($B$13:$B$17)</f>
        <v>0.16844176299999999</v>
      </c>
      <c r="D19" s="4">
        <f ca="1">VLOOKUP($A$19,קבועים!$A$1:$B$17,2,0)*SUM($B$13:$B$17)</f>
        <v>0.16844176299999999</v>
      </c>
      <c r="E19" s="37"/>
      <c r="F19" s="16"/>
      <c r="G19" s="16"/>
      <c r="H19" s="16"/>
      <c r="I19" s="16"/>
      <c r="J19" s="16"/>
    </row>
    <row r="20" spans="1:10" x14ac:dyDescent="0.2">
      <c r="A20" s="41" t="s">
        <v>43</v>
      </c>
      <c r="B20" s="5">
        <f ca="1">'ביטוח לאומי'!B20</f>
        <v>7.1784904999999996E-2</v>
      </c>
      <c r="C20" s="5">
        <f ca="1">'ביטוח לאומי'!C20</f>
        <v>7.1784904999999996E-2</v>
      </c>
      <c r="D20" s="5">
        <f ca="1">'ביטוח לאומי'!D20</f>
        <v>7.1784904999999996E-2</v>
      </c>
      <c r="E20" s="37"/>
      <c r="F20" s="16"/>
      <c r="G20" s="16"/>
      <c r="H20" s="16"/>
      <c r="I20" s="16"/>
      <c r="J20" s="16"/>
    </row>
    <row r="21" spans="1:10" x14ac:dyDescent="0.2">
      <c r="A21" s="41" t="s">
        <v>4</v>
      </c>
      <c r="B21" s="4">
        <f ca="1">VLOOKUP($A$21,קבועים!$A$1:$B$17,2,0)*SUM(B13,B15,B16,B17)</f>
        <v>0.12540825</v>
      </c>
      <c r="C21" s="4">
        <f ca="1">VLOOKUP($A$21,קבועים!$A$1:$B$17,2,0)*SUM(C13,C15,C16,C17)</f>
        <v>0.12540825</v>
      </c>
      <c r="D21" s="4">
        <f ca="1">VLOOKUP($A$21,קבועים!$A$1:$B$17,2,0)*SUM(D13,D15,D16,D17)</f>
        <v>0.12540825</v>
      </c>
      <c r="E21" s="39"/>
      <c r="F21" s="16"/>
      <c r="G21" s="16"/>
      <c r="H21" s="16"/>
      <c r="I21" s="15"/>
      <c r="J21" s="15"/>
    </row>
    <row r="22" spans="1:10" x14ac:dyDescent="0.2">
      <c r="A22" s="10" t="s">
        <v>21</v>
      </c>
      <c r="B22" s="35">
        <f>IF(B11*קבועים!$B$4&gt;קבועים!$B$3,IFERROR(קבועים!$B$3/B8,0),IFERROR(קבועים!$B$4*B11/B8,0))</f>
        <v>1.5</v>
      </c>
      <c r="C22" s="35">
        <f>IF(C11*קבועים!$B$4&gt;קבועים!$B$3,IFERROR(קבועים!$B$3/C8,0),IFERROR(קבועים!$B$4*C11/C8,0))</f>
        <v>1.5</v>
      </c>
      <c r="D22" s="35">
        <f>IF(D11*קבועים!$B$4&gt;קבועים!$B$3,IFERROR(קבועים!$B$3/D8,0),IFERROR(קבועים!$B$4*D11/D8,0))</f>
        <v>1.5</v>
      </c>
      <c r="E22" s="37"/>
      <c r="F22" s="16"/>
      <c r="G22" s="16"/>
      <c r="H22" s="16"/>
      <c r="I22" s="16"/>
      <c r="J22" s="16"/>
    </row>
    <row r="23" spans="1:10" x14ac:dyDescent="0.2">
      <c r="A23" s="41" t="s">
        <v>5</v>
      </c>
      <c r="B23" s="4">
        <f>VLOOKUP($A$23,קבועים!$A$1:$B$17,2,0)*B22</f>
        <v>7.5000000000000011E-2</v>
      </c>
      <c r="C23" s="4">
        <f>VLOOKUP($A$23,קבועים!$A$1:$B$17,2,0)*C22</f>
        <v>7.5000000000000011E-2</v>
      </c>
      <c r="D23" s="4">
        <f>VLOOKUP($A$23,קבועים!$A$1:$B$17,2,0)*D22</f>
        <v>7.5000000000000011E-2</v>
      </c>
      <c r="E23" s="37"/>
      <c r="F23" s="16"/>
      <c r="G23" s="16"/>
      <c r="H23" s="16"/>
      <c r="I23" s="16"/>
      <c r="J23" s="16"/>
    </row>
    <row r="24" spans="1:10" x14ac:dyDescent="0.2">
      <c r="A24" s="41" t="s">
        <v>44</v>
      </c>
      <c r="B24" s="4">
        <f ca="1">SUM(B13:B23)</f>
        <v>4.1144031679999999</v>
      </c>
      <c r="C24" s="4">
        <f t="shared" ref="C24:D24" ca="1" si="2">SUM(C13:C23)</f>
        <v>4.1144031679999999</v>
      </c>
      <c r="D24" s="4">
        <f t="shared" ca="1" si="2"/>
        <v>4.1144031679999999</v>
      </c>
      <c r="E24" s="38"/>
      <c r="F24" s="16"/>
      <c r="G24" s="16"/>
      <c r="H24" s="16"/>
      <c r="I24" s="16"/>
      <c r="J24" s="16"/>
    </row>
    <row r="25" spans="1:10" x14ac:dyDescent="0.2">
      <c r="A25" s="41" t="s">
        <v>45</v>
      </c>
      <c r="B25" s="55"/>
      <c r="C25" s="56"/>
      <c r="D25" s="57"/>
      <c r="E25" s="37" t="s">
        <v>73</v>
      </c>
      <c r="F25" s="16"/>
      <c r="G25" s="16"/>
      <c r="H25" s="16"/>
      <c r="I25" s="16"/>
      <c r="J25" s="16"/>
    </row>
    <row r="26" spans="1:10" x14ac:dyDescent="0.2">
      <c r="E26" s="37"/>
      <c r="F26" s="16"/>
      <c r="G26" s="16"/>
      <c r="H26" s="16"/>
      <c r="I26" s="16"/>
      <c r="J26" s="16"/>
    </row>
    <row r="27" spans="1:10" x14ac:dyDescent="0.2">
      <c r="A27" s="22" t="s">
        <v>46</v>
      </c>
      <c r="B27" s="4">
        <f ca="1">ROUND(B24*B8,2)</f>
        <v>617.16</v>
      </c>
      <c r="C27" s="4">
        <f t="shared" ref="C27:D27" ca="1" si="3">ROUND(C24*C8,2)</f>
        <v>617.16</v>
      </c>
      <c r="D27" s="4">
        <f t="shared" ca="1" si="3"/>
        <v>617.16</v>
      </c>
      <c r="E27" s="37"/>
      <c r="F27" s="16"/>
      <c r="G27" s="16"/>
      <c r="H27" s="16"/>
      <c r="I27" s="16"/>
      <c r="J27" s="16"/>
    </row>
    <row r="28" spans="1:10" x14ac:dyDescent="0.2">
      <c r="A28" s="22" t="s">
        <v>53</v>
      </c>
      <c r="B28" s="35">
        <f>ROUND(B13*(1.25+קבועים!$B$10+קבועים!$B$12)*B9,2)</f>
        <v>0</v>
      </c>
      <c r="C28" s="35">
        <f>ROUND(C13*(1.25+קבועים!$B$10+קבועים!$B$12)*C9,2)</f>
        <v>0</v>
      </c>
      <c r="D28" s="35">
        <f>ROUND(D13*(1.25+קבועים!$B$10+קבועים!$B$12)*D9,2)</f>
        <v>0</v>
      </c>
      <c r="E28" s="37"/>
      <c r="F28" s="16"/>
      <c r="G28" s="16"/>
      <c r="H28" s="16"/>
      <c r="I28" s="16"/>
      <c r="J28" s="16"/>
    </row>
    <row r="29" spans="1:10" x14ac:dyDescent="0.2">
      <c r="A29" s="22" t="s">
        <v>54</v>
      </c>
      <c r="B29" s="35">
        <f>ROUND(B13*(1.5+קבועים!$B$10+קבועים!$B$12)*B10,2)</f>
        <v>0</v>
      </c>
      <c r="C29" s="35">
        <f>ROUND(C13*(1.5+קבועים!$B$10+קבועים!$B$12)*C10,2)</f>
        <v>0</v>
      </c>
      <c r="D29" s="35">
        <f>ROUND(D13*(1.5+קבועים!$B$10+קבועים!$B$12)*D10,2)</f>
        <v>0</v>
      </c>
      <c r="E29" s="37"/>
      <c r="F29" s="16"/>
      <c r="G29" s="16"/>
      <c r="H29" s="16"/>
      <c r="I29" s="16"/>
      <c r="J29" s="16"/>
    </row>
    <row r="30" spans="1:10" x14ac:dyDescent="0.2">
      <c r="A30" s="41" t="s">
        <v>47</v>
      </c>
      <c r="B30" s="4">
        <f>B25*B7</f>
        <v>0</v>
      </c>
      <c r="C30" s="4">
        <f>B25*C7</f>
        <v>0</v>
      </c>
      <c r="D30" s="4">
        <f>B25*D7</f>
        <v>0</v>
      </c>
      <c r="E30" s="36"/>
    </row>
    <row r="31" spans="1:10" ht="15" x14ac:dyDescent="0.25">
      <c r="A31" s="41" t="s">
        <v>50</v>
      </c>
      <c r="B31" s="11">
        <f ca="1">SUM(B27:B30)</f>
        <v>617.16</v>
      </c>
      <c r="C31" s="11">
        <f t="shared" ref="C31:D31" ca="1" si="4">SUM(C27:C30)</f>
        <v>617.16</v>
      </c>
      <c r="D31" s="11">
        <f t="shared" ca="1" si="4"/>
        <v>617.16</v>
      </c>
      <c r="E31" s="36"/>
    </row>
    <row r="32" spans="1:10" x14ac:dyDescent="0.2">
      <c r="E32" s="36"/>
    </row>
    <row r="33" spans="1:5" x14ac:dyDescent="0.2">
      <c r="A33" s="54" t="s">
        <v>48</v>
      </c>
      <c r="B33" s="54"/>
      <c r="E33" s="36"/>
    </row>
    <row r="34" spans="1:5" x14ac:dyDescent="0.2">
      <c r="A34" s="41" t="s">
        <v>49</v>
      </c>
      <c r="B34" s="4">
        <v>0</v>
      </c>
      <c r="E34" s="36"/>
    </row>
    <row r="35" spans="1:5" x14ac:dyDescent="0.2">
      <c r="A35" s="41" t="s">
        <v>19</v>
      </c>
      <c r="B35" s="4">
        <v>0</v>
      </c>
      <c r="E35" s="36"/>
    </row>
    <row r="36" spans="1:5" x14ac:dyDescent="0.2">
      <c r="A36" s="41" t="s">
        <v>20</v>
      </c>
      <c r="B36" s="4">
        <v>0</v>
      </c>
      <c r="E36" s="36"/>
    </row>
    <row r="37" spans="1:5" x14ac:dyDescent="0.2">
      <c r="A37" s="41" t="s">
        <v>52</v>
      </c>
      <c r="B37" s="4">
        <f>SUM(B34:B36)</f>
        <v>0</v>
      </c>
      <c r="E37" s="36"/>
    </row>
    <row r="38" spans="1:5" x14ac:dyDescent="0.2">
      <c r="E38" s="36"/>
    </row>
    <row r="39" spans="1:5" ht="15" x14ac:dyDescent="0.25">
      <c r="A39" s="12" t="s">
        <v>51</v>
      </c>
      <c r="B39" s="13">
        <f ca="1">B37+B31</f>
        <v>617.16</v>
      </c>
      <c r="E39" s="36"/>
    </row>
    <row r="43" spans="1:5" x14ac:dyDescent="0.2">
      <c r="A43" s="42" t="s">
        <v>71</v>
      </c>
    </row>
    <row r="44" spans="1:5" x14ac:dyDescent="0.2">
      <c r="B44" s="40"/>
      <c r="C44" t="s">
        <v>74</v>
      </c>
    </row>
    <row r="45" spans="1:5" x14ac:dyDescent="0.2">
      <c r="C45" t="s">
        <v>75</v>
      </c>
    </row>
    <row r="47" spans="1:5" x14ac:dyDescent="0.2">
      <c r="A47" s="9" t="s">
        <v>72</v>
      </c>
      <c r="B47" s="53"/>
      <c r="C47" s="53"/>
    </row>
  </sheetData>
  <sheetProtection algorithmName="SHA-512" hashValue="v7PoXGjEp5aBnvBoXnqmg3oNK0M5gSgabs28UJPDm3cKLK/yS7hQSNG6S/BS71YQeCFWLusLmD+Jj8RwJOKToQ==" saltValue="r3H3opIU1MIs8ojEVFV9og==" spinCount="100000" sheet="1" objects="1" scenarios="1"/>
  <mergeCells count="2">
    <mergeCell ref="A33:B33"/>
    <mergeCell ref="B25:D25"/>
  </mergeCells>
  <dataValidations count="2">
    <dataValidation type="decimal" operator="greaterThanOrEqual" allowBlank="1" showInputMessage="1" showErrorMessage="1" errorTitle="מספר זה נמוך מהמותר" error="יש לרשום לפחות שכר מינימום" promptTitle="יש לרשום מספר לשכר הבסיס" sqref="B13:D13" xr:uid="{A51913CA-8C05-43AC-8EC7-594D6D7F36C7}">
      <formula1>30.61</formula1>
    </dataValidation>
    <dataValidation type="decimal" operator="greaterThan" allowBlank="1" showInputMessage="1" showErrorMessage="1" error="נא לרשום מספר בלבד" sqref="B25:D25" xr:uid="{D59F7FE4-DD95-44E1-B115-8355CF5BE268}">
      <formula1>0.01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39D0-989E-490C-AD01-489376B0D39A}">
  <dimension ref="A1:C17"/>
  <sheetViews>
    <sheetView rightToLeft="1" workbookViewId="0">
      <selection activeCell="A24" sqref="A24"/>
    </sheetView>
  </sheetViews>
  <sheetFormatPr defaultRowHeight="14.25" x14ac:dyDescent="0.2"/>
  <cols>
    <col min="1" max="1" width="24.375" bestFit="1" customWidth="1"/>
    <col min="2" max="2" width="11.875" bestFit="1" customWidth="1"/>
  </cols>
  <sheetData>
    <row r="1" spans="1:3" x14ac:dyDescent="0.2">
      <c r="A1" s="1" t="s">
        <v>12</v>
      </c>
      <c r="B1" s="17">
        <v>182</v>
      </c>
    </row>
    <row r="2" spans="1:3" x14ac:dyDescent="0.2">
      <c r="A2" s="1" t="s">
        <v>23</v>
      </c>
      <c r="B2" s="1">
        <v>42</v>
      </c>
      <c r="C2">
        <f>B2*4</f>
        <v>168</v>
      </c>
    </row>
    <row r="3" spans="1:3" x14ac:dyDescent="0.2">
      <c r="A3" s="1" t="s">
        <v>11</v>
      </c>
      <c r="B3" s="1">
        <v>225</v>
      </c>
    </row>
    <row r="4" spans="1:3" x14ac:dyDescent="0.2">
      <c r="A4" s="1" t="s">
        <v>56</v>
      </c>
      <c r="B4" s="1">
        <v>12.5</v>
      </c>
    </row>
    <row r="5" spans="1:3" x14ac:dyDescent="0.2">
      <c r="A5" s="18" t="s">
        <v>8</v>
      </c>
      <c r="B5" s="8">
        <v>471.4</v>
      </c>
    </row>
    <row r="6" spans="1:3" x14ac:dyDescent="0.2">
      <c r="A6" s="1" t="s">
        <v>14</v>
      </c>
      <c r="B6" s="4">
        <v>12379</v>
      </c>
    </row>
    <row r="7" spans="1:3" x14ac:dyDescent="0.2">
      <c r="A7" s="1" t="s">
        <v>17</v>
      </c>
      <c r="B7" s="19">
        <v>3.5499999999999997E-2</v>
      </c>
    </row>
    <row r="8" spans="1:3" x14ac:dyDescent="0.2">
      <c r="A8" s="1" t="s">
        <v>18</v>
      </c>
      <c r="B8" s="19">
        <v>7.5999999999999998E-2</v>
      </c>
    </row>
    <row r="9" spans="1:3" x14ac:dyDescent="0.2">
      <c r="A9" s="2" t="s">
        <v>0</v>
      </c>
      <c r="B9" s="3">
        <v>3.4599999999999999E-2</v>
      </c>
    </row>
    <row r="10" spans="1:3" x14ac:dyDescent="0.2">
      <c r="A10" s="2" t="s">
        <v>1</v>
      </c>
      <c r="B10" s="3">
        <v>7.4999999999999997E-2</v>
      </c>
    </row>
    <row r="11" spans="1:3" x14ac:dyDescent="0.2">
      <c r="A11" s="2" t="s">
        <v>2</v>
      </c>
      <c r="B11" s="3">
        <v>8.3299999999999999E-2</v>
      </c>
    </row>
    <row r="12" spans="1:3" x14ac:dyDescent="0.2">
      <c r="A12" s="2" t="s">
        <v>57</v>
      </c>
      <c r="B12" s="3">
        <v>0.06</v>
      </c>
    </row>
    <row r="13" spans="1:3" x14ac:dyDescent="0.2">
      <c r="A13" s="2" t="s">
        <v>3</v>
      </c>
      <c r="B13" s="3">
        <v>3.5499999999999997E-2</v>
      </c>
    </row>
    <row r="14" spans="1:3" x14ac:dyDescent="0.2">
      <c r="A14" s="2" t="s">
        <v>4</v>
      </c>
      <c r="B14" s="3">
        <v>7.4999999999999997E-2</v>
      </c>
    </row>
    <row r="15" spans="1:3" x14ac:dyDescent="0.2">
      <c r="A15" s="2" t="s">
        <v>5</v>
      </c>
      <c r="B15" s="3">
        <v>0.05</v>
      </c>
    </row>
    <row r="16" spans="1:3" x14ac:dyDescent="0.2">
      <c r="A16" s="20" t="s">
        <v>37</v>
      </c>
      <c r="B16" s="21">
        <f>'חישוב תשלומים לספק'!B13</f>
        <v>0</v>
      </c>
    </row>
    <row r="17" spans="1:2" x14ac:dyDescent="0.2">
      <c r="A17" s="20" t="s">
        <v>58</v>
      </c>
      <c r="B17" s="21">
        <f>B16+3</f>
        <v>3</v>
      </c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3A31-E85A-4588-A5ED-996DD38ABD98}">
  <dimension ref="A1:D20"/>
  <sheetViews>
    <sheetView rightToLeft="1" workbookViewId="0">
      <selection activeCell="B19" sqref="B19"/>
    </sheetView>
  </sheetViews>
  <sheetFormatPr defaultRowHeight="14.25" x14ac:dyDescent="0.2"/>
  <cols>
    <col min="1" max="1" width="22.75" style="23" bestFit="1" customWidth="1"/>
    <col min="2" max="2" width="12.25" style="23" bestFit="1" customWidth="1"/>
    <col min="3" max="4" width="11.875" style="23" bestFit="1" customWidth="1"/>
    <col min="5" max="16384" width="9" style="23"/>
  </cols>
  <sheetData>
    <row r="1" spans="1:4" x14ac:dyDescent="0.2">
      <c r="A1" s="58" t="s">
        <v>60</v>
      </c>
      <c r="B1" s="58"/>
    </row>
    <row r="2" spans="1:4" x14ac:dyDescent="0.2">
      <c r="A2" s="23" t="s">
        <v>61</v>
      </c>
      <c r="B2" s="23" t="s">
        <v>62</v>
      </c>
      <c r="C2" s="23" t="s">
        <v>62</v>
      </c>
      <c r="D2" s="23" t="s">
        <v>62</v>
      </c>
    </row>
    <row r="3" spans="1:4" x14ac:dyDescent="0.2">
      <c r="A3" s="24" t="s">
        <v>39</v>
      </c>
      <c r="B3" s="25">
        <f>'חישוב תשלומים לספק'!B8</f>
        <v>150</v>
      </c>
      <c r="C3" s="25">
        <f>'חישוב תשלומים לספק'!C8</f>
        <v>150</v>
      </c>
      <c r="D3" s="25">
        <f>'חישוב תשלומים לספק'!D8</f>
        <v>150</v>
      </c>
    </row>
    <row r="4" spans="1:4" x14ac:dyDescent="0.2">
      <c r="A4" s="24" t="s">
        <v>55</v>
      </c>
      <c r="B4" s="25">
        <f>'חישוב תשלומים לספק'!B9</f>
        <v>2</v>
      </c>
      <c r="C4" s="25">
        <f>'חישוב תשלומים לספק'!C9</f>
        <v>2</v>
      </c>
      <c r="D4" s="25">
        <f>'חישוב תשלומים לספק'!D9</f>
        <v>2</v>
      </c>
    </row>
    <row r="5" spans="1:4" x14ac:dyDescent="0.2">
      <c r="A5" s="24" t="s">
        <v>40</v>
      </c>
      <c r="B5" s="25">
        <f>'חישוב תשלומים לספק'!B10</f>
        <v>1</v>
      </c>
      <c r="C5" s="25">
        <f>'חישוב תשלומים לספק'!C10</f>
        <v>1</v>
      </c>
      <c r="D5" s="25">
        <f>'חישוב תשלומים לספק'!D10</f>
        <v>1</v>
      </c>
    </row>
    <row r="6" spans="1:4" x14ac:dyDescent="0.2">
      <c r="A6" s="26" t="s">
        <v>63</v>
      </c>
      <c r="B6" s="27">
        <f>SUM(B3:B5)</f>
        <v>153</v>
      </c>
      <c r="C6" s="27">
        <f>SUM(C3:C5)</f>
        <v>153</v>
      </c>
      <c r="D6" s="27">
        <f>SUM(D3:D5)</f>
        <v>153</v>
      </c>
    </row>
    <row r="8" spans="1:4" x14ac:dyDescent="0.2">
      <c r="B8" s="23" t="s">
        <v>64</v>
      </c>
      <c r="C8" s="23" t="s">
        <v>64</v>
      </c>
      <c r="D8" s="23" t="s">
        <v>64</v>
      </c>
    </row>
    <row r="9" spans="1:4" x14ac:dyDescent="0.2">
      <c r="A9" s="28" t="s">
        <v>65</v>
      </c>
      <c r="B9" s="29">
        <f>'חישוב תשלומים לספק'!B13</f>
        <v>0</v>
      </c>
      <c r="C9" s="29">
        <f>'חישוב תשלומים לספק'!C13</f>
        <v>0</v>
      </c>
      <c r="D9" s="29">
        <f>'חישוב תשלומים לספק'!D13</f>
        <v>0</v>
      </c>
    </row>
    <row r="10" spans="1:4" x14ac:dyDescent="0.2">
      <c r="A10" s="23" t="str">
        <f>CONCATENATE("שכר ",A4)</f>
        <v>שכר שעות נוספות 125%</v>
      </c>
      <c r="B10" s="29">
        <f>B9*1.25</f>
        <v>0</v>
      </c>
      <c r="C10" s="29">
        <f>C9*1.25</f>
        <v>0</v>
      </c>
      <c r="D10" s="29">
        <f>D9*1.25</f>
        <v>0</v>
      </c>
    </row>
    <row r="11" spans="1:4" x14ac:dyDescent="0.2">
      <c r="A11" s="23" t="str">
        <f>CONCATENATE("שכר ",A5)</f>
        <v>שכר שעות 150%:</v>
      </c>
      <c r="B11" s="29">
        <f>B9*1.5</f>
        <v>0</v>
      </c>
      <c r="C11" s="29">
        <f>C9*1.5</f>
        <v>0</v>
      </c>
      <c r="D11" s="29">
        <f>D9*1.5</f>
        <v>0</v>
      </c>
    </row>
    <row r="12" spans="1:4" x14ac:dyDescent="0.2">
      <c r="A12" s="23" t="s">
        <v>68</v>
      </c>
      <c r="B12" s="29">
        <f ca="1">'חישוב תשלומים לספק'!B14</f>
        <v>0.35</v>
      </c>
      <c r="C12" s="29">
        <f ca="1">'חישוב תשלומים לספק'!C14</f>
        <v>0.35</v>
      </c>
      <c r="D12" s="29">
        <f ca="1">'חישוב תשלומים לספק'!D14</f>
        <v>0.35</v>
      </c>
    </row>
    <row r="13" spans="1:4" x14ac:dyDescent="0.2">
      <c r="B13" s="30">
        <f ca="1">SUMPRODUCT(B3:B5,B9:B11)+B12*B6</f>
        <v>53.55</v>
      </c>
      <c r="C13" s="30">
        <f ca="1">SUMPRODUCT(C3:C5,C9:C11)+C12*C6</f>
        <v>53.55</v>
      </c>
      <c r="D13" s="30">
        <f ca="1">SUMPRODUCT(D3:D5,D9:D11)+D12*D6</f>
        <v>53.55</v>
      </c>
    </row>
    <row r="14" spans="1:4" x14ac:dyDescent="0.2">
      <c r="B14" s="30"/>
      <c r="C14" s="30"/>
      <c r="D14" s="30"/>
    </row>
    <row r="15" spans="1:4" x14ac:dyDescent="0.2">
      <c r="A15" s="31" t="s">
        <v>16</v>
      </c>
      <c r="B15" s="32">
        <f ca="1">(SUM('חישוב תשלומים לספק'!B13:B17)*B3+SUMPRODUCT(B10:B11,B4:B5))</f>
        <v>303.31650000000002</v>
      </c>
      <c r="C15" s="32">
        <f ca="1">(SUM('חישוב תשלומים לספק'!C13:C17)*C3+SUMPRODUCT(C10:C11,C4:C5))</f>
        <v>303.31650000000002</v>
      </c>
      <c r="D15" s="32">
        <f ca="1">(SUM('חישוב תשלומים לספק'!D13:D17)*D3+SUMPRODUCT(D10:D11,D4:D5))</f>
        <v>303.31650000000002</v>
      </c>
    </row>
    <row r="16" spans="1:4" x14ac:dyDescent="0.2">
      <c r="A16" s="31" t="s">
        <v>14</v>
      </c>
      <c r="B16" s="33">
        <v>11870</v>
      </c>
      <c r="C16" s="33">
        <v>11871</v>
      </c>
      <c r="D16" s="33">
        <v>11872</v>
      </c>
    </row>
    <row r="17" spans="1:4" x14ac:dyDescent="0.2">
      <c r="A17" s="31" t="s">
        <v>15</v>
      </c>
      <c r="B17" s="33">
        <f>(B16*0.6)</f>
        <v>7122</v>
      </c>
      <c r="C17" s="33">
        <f>(C16*0.6)</f>
        <v>7122.5999999999995</v>
      </c>
      <c r="D17" s="33">
        <f>(D16*0.6)</f>
        <v>7123.2</v>
      </c>
    </row>
    <row r="18" spans="1:4" x14ac:dyDescent="0.2">
      <c r="A18" s="31" t="s">
        <v>17</v>
      </c>
      <c r="B18" s="32">
        <f ca="1">IFERROR(MIN(B17,B15)*VLOOKUP($A$18,קבועים!$A$1:$B$17,2,0)/B3,0)</f>
        <v>7.1784904999999996E-2</v>
      </c>
      <c r="C18" s="32">
        <f ca="1">IFERROR(MIN(C17,C15)*VLOOKUP($A$18,קבועים!$A$1:$B$17,2,0)/C3,0)</f>
        <v>7.1784904999999996E-2</v>
      </c>
      <c r="D18" s="32">
        <f ca="1">IFERROR(MIN(D17,D15)*VLOOKUP($A$18,קבועים!$A$1:$B$17,2,0)/D3,0)</f>
        <v>7.1784904999999996E-2</v>
      </c>
    </row>
    <row r="19" spans="1:4" x14ac:dyDescent="0.2">
      <c r="A19" s="31" t="s">
        <v>18</v>
      </c>
      <c r="B19" s="32">
        <f ca="1">IFERROR(IF((B15-B17)*VLOOKUP($A$19,קבועים!$A$1:$B$17,2,0)/B3&gt;0,(B15-B17)*VLOOKUP($A$19,קבועים!$A$1:$B$17,2,0)/קבועים!$B$1,0),0)</f>
        <v>0</v>
      </c>
      <c r="C19" s="32">
        <f ca="1">IFERROR(IF((C15-C17)*VLOOKUP($A$19,קבועים!$A$1:$B$17,2,0)/C3&gt;0,(C15-C17)*VLOOKUP($A$19,קבועים!$A$1:$B$17,2,0)/קבועים!$B$1,0),0)</f>
        <v>0</v>
      </c>
      <c r="D19" s="32">
        <f ca="1">IFERROR(IF((D15-D17)*VLOOKUP($A$19,קבועים!$A$1:$B$17,2,0)/D3&gt;0,(D15-D17)*VLOOKUP($A$19,קבועים!$A$1:$B$17,2,0)/קבועים!$B$1,0),0)</f>
        <v>0</v>
      </c>
    </row>
    <row r="20" spans="1:4" x14ac:dyDescent="0.2">
      <c r="B20" s="34">
        <f ca="1">SUM(B18:B19)</f>
        <v>7.1784904999999996E-2</v>
      </c>
      <c r="C20" s="34">
        <f ca="1">SUM(C18:C19)</f>
        <v>7.1784904999999996E-2</v>
      </c>
      <c r="D20" s="34">
        <f ca="1">SUM(D18:D19)</f>
        <v>7.1784904999999996E-2</v>
      </c>
    </row>
  </sheetData>
  <sheetProtection selectLockedCells="1" selectUn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rightToLeft="1" workbookViewId="0">
      <selection activeCell="A24" sqref="A24"/>
    </sheetView>
  </sheetViews>
  <sheetFormatPr defaultRowHeight="14.25" x14ac:dyDescent="0.2"/>
  <cols>
    <col min="2" max="2" width="8.5" bestFit="1" customWidth="1"/>
  </cols>
  <sheetData>
    <row r="1" spans="1:4" ht="45" x14ac:dyDescent="0.2">
      <c r="A1" s="7" t="s">
        <v>6</v>
      </c>
      <c r="B1" s="7" t="s">
        <v>7</v>
      </c>
      <c r="C1" s="7" t="s">
        <v>10</v>
      </c>
    </row>
    <row r="2" spans="1:4" x14ac:dyDescent="0.2">
      <c r="A2" s="1">
        <v>1</v>
      </c>
      <c r="B2" s="1">
        <v>7</v>
      </c>
      <c r="C2" s="6">
        <f>ROUND(B2*$C$27/($C$28*12),2)</f>
        <v>1.64</v>
      </c>
      <c r="D2" s="6"/>
    </row>
    <row r="3" spans="1:4" x14ac:dyDescent="0.2">
      <c r="A3" s="1">
        <v>2</v>
      </c>
      <c r="B3" s="1">
        <f>B2</f>
        <v>7</v>
      </c>
      <c r="C3" s="6">
        <f t="shared" ref="C3:C26" si="0">ROUND(B3*$C$27/($C$28*12),2)</f>
        <v>1.64</v>
      </c>
    </row>
    <row r="4" spans="1:4" x14ac:dyDescent="0.2">
      <c r="A4" s="1">
        <v>3</v>
      </c>
      <c r="B4" s="1">
        <f t="shared" ref="B4:B25" si="1">B3</f>
        <v>7</v>
      </c>
      <c r="C4" s="6">
        <f t="shared" si="0"/>
        <v>1.64</v>
      </c>
    </row>
    <row r="5" spans="1:4" x14ac:dyDescent="0.2">
      <c r="A5" s="1">
        <v>4</v>
      </c>
      <c r="B5" s="1">
        <v>9</v>
      </c>
      <c r="C5" s="6">
        <f t="shared" si="0"/>
        <v>2.11</v>
      </c>
    </row>
    <row r="6" spans="1:4" x14ac:dyDescent="0.2">
      <c r="A6" s="1">
        <v>5</v>
      </c>
      <c r="B6" s="1">
        <f t="shared" si="1"/>
        <v>9</v>
      </c>
      <c r="C6" s="6">
        <f t="shared" si="0"/>
        <v>2.11</v>
      </c>
    </row>
    <row r="7" spans="1:4" x14ac:dyDescent="0.2">
      <c r="A7" s="1">
        <v>6</v>
      </c>
      <c r="B7" s="1">
        <f t="shared" si="1"/>
        <v>9</v>
      </c>
      <c r="C7" s="6">
        <f t="shared" si="0"/>
        <v>2.11</v>
      </c>
    </row>
    <row r="8" spans="1:4" x14ac:dyDescent="0.2">
      <c r="A8" s="1">
        <v>7</v>
      </c>
      <c r="B8" s="1">
        <f t="shared" si="1"/>
        <v>9</v>
      </c>
      <c r="C8" s="6">
        <f t="shared" si="0"/>
        <v>2.11</v>
      </c>
    </row>
    <row r="9" spans="1:4" x14ac:dyDescent="0.2">
      <c r="A9" s="1">
        <v>8</v>
      </c>
      <c r="B9" s="1">
        <f t="shared" si="1"/>
        <v>9</v>
      </c>
      <c r="C9" s="6">
        <f t="shared" si="0"/>
        <v>2.11</v>
      </c>
    </row>
    <row r="10" spans="1:4" x14ac:dyDescent="0.2">
      <c r="A10" s="1">
        <v>9</v>
      </c>
      <c r="B10" s="1">
        <f t="shared" si="1"/>
        <v>9</v>
      </c>
      <c r="C10" s="6">
        <f t="shared" si="0"/>
        <v>2.11</v>
      </c>
    </row>
    <row r="11" spans="1:4" x14ac:dyDescent="0.2">
      <c r="A11" s="1">
        <v>10</v>
      </c>
      <c r="B11" s="1">
        <f t="shared" si="1"/>
        <v>9</v>
      </c>
      <c r="C11" s="6">
        <f t="shared" si="0"/>
        <v>2.11</v>
      </c>
    </row>
    <row r="12" spans="1:4" x14ac:dyDescent="0.2">
      <c r="A12" s="1">
        <v>11</v>
      </c>
      <c r="B12" s="1">
        <v>10</v>
      </c>
      <c r="C12" s="6">
        <f t="shared" si="0"/>
        <v>2.35</v>
      </c>
    </row>
    <row r="13" spans="1:4" x14ac:dyDescent="0.2">
      <c r="A13" s="1">
        <v>12</v>
      </c>
      <c r="B13" s="1">
        <f t="shared" si="1"/>
        <v>10</v>
      </c>
      <c r="C13" s="6">
        <f t="shared" si="0"/>
        <v>2.35</v>
      </c>
    </row>
    <row r="14" spans="1:4" x14ac:dyDescent="0.2">
      <c r="A14" s="1">
        <v>13</v>
      </c>
      <c r="B14" s="1">
        <f t="shared" si="1"/>
        <v>10</v>
      </c>
      <c r="C14" s="6">
        <f t="shared" si="0"/>
        <v>2.35</v>
      </c>
    </row>
    <row r="15" spans="1:4" x14ac:dyDescent="0.2">
      <c r="A15" s="1">
        <v>14</v>
      </c>
      <c r="B15" s="1">
        <f t="shared" si="1"/>
        <v>10</v>
      </c>
      <c r="C15" s="6">
        <f t="shared" si="0"/>
        <v>2.35</v>
      </c>
    </row>
    <row r="16" spans="1:4" x14ac:dyDescent="0.2">
      <c r="A16" s="1">
        <v>15</v>
      </c>
      <c r="B16" s="1">
        <f t="shared" si="1"/>
        <v>10</v>
      </c>
      <c r="C16" s="6">
        <f t="shared" si="0"/>
        <v>2.35</v>
      </c>
    </row>
    <row r="17" spans="1:3" x14ac:dyDescent="0.2">
      <c r="A17" s="1">
        <v>16</v>
      </c>
      <c r="B17" s="1">
        <v>11</v>
      </c>
      <c r="C17" s="6">
        <f t="shared" si="0"/>
        <v>2.58</v>
      </c>
    </row>
    <row r="18" spans="1:3" x14ac:dyDescent="0.2">
      <c r="A18" s="1">
        <v>17</v>
      </c>
      <c r="B18" s="1">
        <f t="shared" si="1"/>
        <v>11</v>
      </c>
      <c r="C18" s="6">
        <f t="shared" si="0"/>
        <v>2.58</v>
      </c>
    </row>
    <row r="19" spans="1:3" x14ac:dyDescent="0.2">
      <c r="A19" s="1">
        <v>18</v>
      </c>
      <c r="B19" s="1">
        <f t="shared" si="1"/>
        <v>11</v>
      </c>
      <c r="C19" s="6">
        <f t="shared" si="0"/>
        <v>2.58</v>
      </c>
    </row>
    <row r="20" spans="1:3" x14ac:dyDescent="0.2">
      <c r="A20" s="1">
        <v>19</v>
      </c>
      <c r="B20" s="1">
        <f t="shared" si="1"/>
        <v>11</v>
      </c>
      <c r="C20" s="6">
        <f t="shared" si="0"/>
        <v>2.58</v>
      </c>
    </row>
    <row r="21" spans="1:3" x14ac:dyDescent="0.2">
      <c r="A21" s="1">
        <v>20</v>
      </c>
      <c r="B21" s="1">
        <v>12</v>
      </c>
      <c r="C21" s="6">
        <f t="shared" si="0"/>
        <v>2.82</v>
      </c>
    </row>
    <row r="22" spans="1:3" x14ac:dyDescent="0.2">
      <c r="A22" s="1">
        <v>21</v>
      </c>
      <c r="B22" s="1">
        <f t="shared" si="1"/>
        <v>12</v>
      </c>
      <c r="C22" s="6">
        <f t="shared" si="0"/>
        <v>2.82</v>
      </c>
    </row>
    <row r="23" spans="1:3" x14ac:dyDescent="0.2">
      <c r="A23" s="1">
        <v>22</v>
      </c>
      <c r="B23" s="1">
        <f t="shared" si="1"/>
        <v>12</v>
      </c>
      <c r="C23" s="6">
        <f t="shared" si="0"/>
        <v>2.82</v>
      </c>
    </row>
    <row r="24" spans="1:3" x14ac:dyDescent="0.2">
      <c r="A24" s="1">
        <v>23</v>
      </c>
      <c r="B24" s="1">
        <f t="shared" si="1"/>
        <v>12</v>
      </c>
      <c r="C24" s="6">
        <f t="shared" si="0"/>
        <v>2.82</v>
      </c>
    </row>
    <row r="25" spans="1:3" x14ac:dyDescent="0.2">
      <c r="A25" s="1">
        <v>24</v>
      </c>
      <c r="B25" s="1">
        <f t="shared" si="1"/>
        <v>12</v>
      </c>
      <c r="C25" s="6">
        <f t="shared" si="0"/>
        <v>2.82</v>
      </c>
    </row>
    <row r="26" spans="1:3" x14ac:dyDescent="0.2">
      <c r="A26" s="1">
        <v>25</v>
      </c>
      <c r="B26" s="1">
        <v>13</v>
      </c>
      <c r="C26" s="6">
        <f t="shared" si="0"/>
        <v>3.05</v>
      </c>
    </row>
    <row r="27" spans="1:3" x14ac:dyDescent="0.2">
      <c r="A27" s="59" t="s">
        <v>8</v>
      </c>
      <c r="B27" s="59"/>
      <c r="C27" s="8">
        <f>קבועים!B5</f>
        <v>471.4</v>
      </c>
    </row>
    <row r="28" spans="1:3" x14ac:dyDescent="0.2">
      <c r="A28" s="59" t="s">
        <v>9</v>
      </c>
      <c r="B28" s="59"/>
      <c r="C28" s="1">
        <v>167.3329411764706</v>
      </c>
    </row>
  </sheetData>
  <mergeCells count="2">
    <mergeCell ref="A27:B27"/>
    <mergeCell ref="A28:B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CCF0E-6D7A-4B49-9F2C-EF9FD242B3FF}">
  <dimension ref="A1:B26"/>
  <sheetViews>
    <sheetView rightToLeft="1" workbookViewId="0">
      <selection activeCell="A24" sqref="A24"/>
    </sheetView>
  </sheetViews>
  <sheetFormatPr defaultRowHeight="14.25" x14ac:dyDescent="0.2"/>
  <sheetData>
    <row r="1" spans="1:2" x14ac:dyDescent="0.2">
      <c r="A1" s="1" t="s">
        <v>13</v>
      </c>
      <c r="B1" s="1" t="s">
        <v>66</v>
      </c>
    </row>
    <row r="2" spans="1:2" x14ac:dyDescent="0.2">
      <c r="A2" s="1">
        <v>1</v>
      </c>
      <c r="B2" s="1">
        <v>0</v>
      </c>
    </row>
    <row r="3" spans="1:2" x14ac:dyDescent="0.2">
      <c r="A3" s="1">
        <v>2</v>
      </c>
      <c r="B3" s="1">
        <v>0.35</v>
      </c>
    </row>
    <row r="4" spans="1:2" x14ac:dyDescent="0.2">
      <c r="A4" s="1">
        <v>3</v>
      </c>
      <c r="B4" s="1">
        <v>0.35</v>
      </c>
    </row>
    <row r="5" spans="1:2" x14ac:dyDescent="0.2">
      <c r="A5" s="1">
        <v>4</v>
      </c>
      <c r="B5" s="1">
        <v>0.35</v>
      </c>
    </row>
    <row r="6" spans="1:2" x14ac:dyDescent="0.2">
      <c r="A6" s="1">
        <v>5</v>
      </c>
      <c r="B6" s="1">
        <v>0.35</v>
      </c>
    </row>
    <row r="7" spans="1:2" x14ac:dyDescent="0.2">
      <c r="A7" s="1">
        <v>6</v>
      </c>
      <c r="B7" s="1">
        <v>0.46</v>
      </c>
    </row>
    <row r="8" spans="1:2" x14ac:dyDescent="0.2">
      <c r="A8" s="1">
        <v>7</v>
      </c>
      <c r="B8" s="1">
        <v>0.46</v>
      </c>
    </row>
    <row r="9" spans="1:2" x14ac:dyDescent="0.2">
      <c r="A9" s="1">
        <v>8</v>
      </c>
      <c r="B9" s="1">
        <v>0.46</v>
      </c>
    </row>
    <row r="10" spans="1:2" x14ac:dyDescent="0.2">
      <c r="A10" s="1">
        <v>9</v>
      </c>
      <c r="B10" s="1">
        <v>0.46</v>
      </c>
    </row>
    <row r="11" spans="1:2" x14ac:dyDescent="0.2">
      <c r="A11" s="1">
        <v>10</v>
      </c>
      <c r="B11" s="1">
        <v>0.46</v>
      </c>
    </row>
    <row r="12" spans="1:2" x14ac:dyDescent="0.2">
      <c r="A12" s="1">
        <v>11</v>
      </c>
      <c r="B12" s="1">
        <v>0.46</v>
      </c>
    </row>
    <row r="13" spans="1:2" x14ac:dyDescent="0.2">
      <c r="A13" s="1">
        <v>12</v>
      </c>
      <c r="B13" s="1">
        <v>0.46</v>
      </c>
    </row>
    <row r="14" spans="1:2" x14ac:dyDescent="0.2">
      <c r="A14" s="1">
        <v>13</v>
      </c>
      <c r="B14" s="1">
        <v>0.46</v>
      </c>
    </row>
    <row r="15" spans="1:2" x14ac:dyDescent="0.2">
      <c r="A15" s="1">
        <v>14</v>
      </c>
      <c r="B15" s="1">
        <v>0.46</v>
      </c>
    </row>
    <row r="16" spans="1:2" x14ac:dyDescent="0.2">
      <c r="A16" s="1">
        <v>15</v>
      </c>
      <c r="B16" s="1">
        <v>0.46</v>
      </c>
    </row>
    <row r="17" spans="1:2" x14ac:dyDescent="0.2">
      <c r="A17" s="1">
        <v>16</v>
      </c>
      <c r="B17" s="1">
        <v>0.46</v>
      </c>
    </row>
    <row r="18" spans="1:2" x14ac:dyDescent="0.2">
      <c r="A18" s="1">
        <v>17</v>
      </c>
      <c r="B18" s="1">
        <v>0.46</v>
      </c>
    </row>
    <row r="19" spans="1:2" x14ac:dyDescent="0.2">
      <c r="A19" s="1">
        <v>18</v>
      </c>
      <c r="B19" s="1">
        <v>0.46</v>
      </c>
    </row>
    <row r="20" spans="1:2" x14ac:dyDescent="0.2">
      <c r="A20" s="1">
        <v>19</v>
      </c>
      <c r="B20" s="1">
        <v>0.46</v>
      </c>
    </row>
    <row r="21" spans="1:2" x14ac:dyDescent="0.2">
      <c r="A21" s="1">
        <v>20</v>
      </c>
      <c r="B21" s="1">
        <v>0.46</v>
      </c>
    </row>
    <row r="22" spans="1:2" x14ac:dyDescent="0.2">
      <c r="A22" s="1">
        <v>21</v>
      </c>
      <c r="B22" s="1">
        <v>0.46</v>
      </c>
    </row>
    <row r="23" spans="1:2" x14ac:dyDescent="0.2">
      <c r="A23" s="1">
        <v>22</v>
      </c>
      <c r="B23" s="1">
        <v>0.46</v>
      </c>
    </row>
    <row r="24" spans="1:2" x14ac:dyDescent="0.2">
      <c r="A24" s="1">
        <v>23</v>
      </c>
      <c r="B24" s="1">
        <v>0.46</v>
      </c>
    </row>
    <row r="25" spans="1:2" x14ac:dyDescent="0.2">
      <c r="A25" s="1">
        <v>24</v>
      </c>
      <c r="B25" s="1">
        <v>0.46</v>
      </c>
    </row>
    <row r="26" spans="1:2" x14ac:dyDescent="0.2">
      <c r="A26" s="1">
        <v>25</v>
      </c>
      <c r="B26" s="1">
        <v>0.46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rightToLeft="1" workbookViewId="0">
      <selection activeCell="A24" sqref="A24"/>
    </sheetView>
  </sheetViews>
  <sheetFormatPr defaultRowHeight="14.25" x14ac:dyDescent="0.2"/>
  <cols>
    <col min="1" max="1" width="7.5" bestFit="1" customWidth="1"/>
    <col min="2" max="2" width="14.5" bestFit="1" customWidth="1"/>
    <col min="3" max="3" width="8.375" bestFit="1" customWidth="1"/>
    <col min="4" max="4" width="8.375" customWidth="1"/>
    <col min="5" max="5" width="9.375" bestFit="1" customWidth="1"/>
    <col min="6" max="6" width="10.875" bestFit="1" customWidth="1"/>
    <col min="7" max="7" width="10.25" bestFit="1" customWidth="1"/>
    <col min="9" max="9" width="21.625" bestFit="1" customWidth="1"/>
  </cols>
  <sheetData>
    <row r="1" spans="1:10" x14ac:dyDescent="0.2">
      <c r="A1" s="60" t="s">
        <v>31</v>
      </c>
      <c r="B1" s="61"/>
      <c r="C1" s="61"/>
      <c r="D1" s="61"/>
      <c r="E1" s="61"/>
      <c r="F1" s="61"/>
      <c r="G1" s="61"/>
    </row>
    <row r="2" spans="1:10" x14ac:dyDescent="0.2">
      <c r="A2" s="1" t="s">
        <v>13</v>
      </c>
      <c r="B2" s="1" t="s">
        <v>22</v>
      </c>
      <c r="C2" s="1" t="s">
        <v>24</v>
      </c>
      <c r="D2" s="1" t="s">
        <v>69</v>
      </c>
      <c r="E2" s="1" t="s">
        <v>28</v>
      </c>
      <c r="F2" s="1" t="s">
        <v>29</v>
      </c>
      <c r="G2" s="1" t="s">
        <v>30</v>
      </c>
      <c r="I2" s="1" t="s">
        <v>23</v>
      </c>
      <c r="J2" s="1">
        <f>קבועים!B2</f>
        <v>42</v>
      </c>
    </row>
    <row r="3" spans="1:10" x14ac:dyDescent="0.2">
      <c r="A3" s="1">
        <v>1</v>
      </c>
      <c r="B3" s="1">
        <v>12</v>
      </c>
      <c r="C3" s="5">
        <f>קבועים!$B$16</f>
        <v>0</v>
      </c>
      <c r="D3" s="5">
        <f>ותק!B2</f>
        <v>0</v>
      </c>
      <c r="E3" s="5">
        <f>$J$5*(C3+D3)</f>
        <v>0</v>
      </c>
      <c r="F3" s="4">
        <f t="shared" ref="F3:F27" si="0">E3*B3</f>
        <v>0</v>
      </c>
      <c r="G3" s="4">
        <f>ROUND(F3/$J$3/12,2)</f>
        <v>0</v>
      </c>
      <c r="I3" s="1" t="s">
        <v>25</v>
      </c>
      <c r="J3" s="1">
        <f>קבועים!B1</f>
        <v>182</v>
      </c>
    </row>
    <row r="4" spans="1:10" x14ac:dyDescent="0.2">
      <c r="A4" s="1">
        <v>2</v>
      </c>
      <c r="B4" s="1">
        <v>12</v>
      </c>
      <c r="C4" s="5">
        <f>קבועים!$B$16</f>
        <v>0</v>
      </c>
      <c r="D4" s="5">
        <f>ותק!B3</f>
        <v>0.35</v>
      </c>
      <c r="E4" s="5">
        <f t="shared" ref="E4:E27" si="1">$J$5*(C4+D4)</f>
        <v>2.94</v>
      </c>
      <c r="F4" s="4">
        <f t="shared" si="0"/>
        <v>35.28</v>
      </c>
      <c r="G4" s="4">
        <f t="shared" ref="G4:G27" si="2">ROUND(F4/$J$3/12,2)</f>
        <v>0.02</v>
      </c>
      <c r="I4" s="1" t="s">
        <v>26</v>
      </c>
      <c r="J4" s="6">
        <f>J3/J2</f>
        <v>4.333333333333333</v>
      </c>
    </row>
    <row r="5" spans="1:10" x14ac:dyDescent="0.2">
      <c r="A5" s="1">
        <v>3</v>
      </c>
      <c r="B5" s="1">
        <v>12</v>
      </c>
      <c r="C5" s="5">
        <f>קבועים!$B$16</f>
        <v>0</v>
      </c>
      <c r="D5" s="5">
        <f>ותק!B4</f>
        <v>0.35</v>
      </c>
      <c r="E5" s="5">
        <f t="shared" si="1"/>
        <v>2.94</v>
      </c>
      <c r="F5" s="4">
        <f t="shared" si="0"/>
        <v>35.28</v>
      </c>
      <c r="G5" s="4">
        <f t="shared" si="2"/>
        <v>0.02</v>
      </c>
      <c r="I5" s="1" t="s">
        <v>27</v>
      </c>
      <c r="J5" s="1">
        <f>J2/5</f>
        <v>8.4</v>
      </c>
    </row>
    <row r="6" spans="1:10" x14ac:dyDescent="0.2">
      <c r="A6" s="1">
        <v>4</v>
      </c>
      <c r="B6" s="1">
        <v>12</v>
      </c>
      <c r="C6" s="5">
        <f>קבועים!$B$16</f>
        <v>0</v>
      </c>
      <c r="D6" s="5">
        <f>ותק!B5</f>
        <v>0.35</v>
      </c>
      <c r="E6" s="5">
        <f t="shared" si="1"/>
        <v>2.94</v>
      </c>
      <c r="F6" s="4">
        <f t="shared" si="0"/>
        <v>35.28</v>
      </c>
      <c r="G6" s="4">
        <f t="shared" si="2"/>
        <v>0.02</v>
      </c>
    </row>
    <row r="7" spans="1:10" x14ac:dyDescent="0.2">
      <c r="A7" s="1">
        <v>5</v>
      </c>
      <c r="B7" s="1">
        <v>13</v>
      </c>
      <c r="C7" s="5">
        <f>קבועים!$B$16</f>
        <v>0</v>
      </c>
      <c r="D7" s="5">
        <f>ותק!B6</f>
        <v>0.35</v>
      </c>
      <c r="E7" s="5">
        <f t="shared" si="1"/>
        <v>2.94</v>
      </c>
      <c r="F7" s="4">
        <f t="shared" si="0"/>
        <v>38.22</v>
      </c>
      <c r="G7" s="4">
        <f t="shared" si="2"/>
        <v>0.02</v>
      </c>
    </row>
    <row r="8" spans="1:10" x14ac:dyDescent="0.2">
      <c r="A8" s="1">
        <v>6</v>
      </c>
      <c r="B8" s="1">
        <v>18</v>
      </c>
      <c r="C8" s="5">
        <f>קבועים!$B$16</f>
        <v>0</v>
      </c>
      <c r="D8" s="5">
        <f>ותק!B7</f>
        <v>0.46</v>
      </c>
      <c r="E8" s="5">
        <f t="shared" si="1"/>
        <v>3.8640000000000003</v>
      </c>
      <c r="F8" s="4">
        <f t="shared" si="0"/>
        <v>69.552000000000007</v>
      </c>
      <c r="G8" s="4">
        <f t="shared" si="2"/>
        <v>0.03</v>
      </c>
    </row>
    <row r="9" spans="1:10" x14ac:dyDescent="0.2">
      <c r="A9" s="1">
        <v>7</v>
      </c>
      <c r="B9" s="1">
        <v>19</v>
      </c>
      <c r="C9" s="5">
        <f>קבועים!$B$16</f>
        <v>0</v>
      </c>
      <c r="D9" s="5">
        <f>ותק!B8</f>
        <v>0.46</v>
      </c>
      <c r="E9" s="5">
        <f t="shared" si="1"/>
        <v>3.8640000000000003</v>
      </c>
      <c r="F9" s="4">
        <f t="shared" si="0"/>
        <v>73.416000000000011</v>
      </c>
      <c r="G9" s="4">
        <f t="shared" si="2"/>
        <v>0.03</v>
      </c>
    </row>
    <row r="10" spans="1:10" x14ac:dyDescent="0.2">
      <c r="A10" s="1">
        <v>8</v>
      </c>
      <c r="B10" s="1">
        <v>19</v>
      </c>
      <c r="C10" s="5">
        <f>קבועים!$B$16</f>
        <v>0</v>
      </c>
      <c r="D10" s="5">
        <f>ותק!B9</f>
        <v>0.46</v>
      </c>
      <c r="E10" s="5">
        <f t="shared" si="1"/>
        <v>3.8640000000000003</v>
      </c>
      <c r="F10" s="4">
        <f t="shared" si="0"/>
        <v>73.416000000000011</v>
      </c>
      <c r="G10" s="4">
        <f t="shared" si="2"/>
        <v>0.03</v>
      </c>
    </row>
    <row r="11" spans="1:10" x14ac:dyDescent="0.2">
      <c r="A11" s="1">
        <v>9</v>
      </c>
      <c r="B11" s="1">
        <v>23</v>
      </c>
      <c r="C11" s="5">
        <f>קבועים!$B$16</f>
        <v>0</v>
      </c>
      <c r="D11" s="5">
        <f>ותק!B10</f>
        <v>0.46</v>
      </c>
      <c r="E11" s="5">
        <f t="shared" si="1"/>
        <v>3.8640000000000003</v>
      </c>
      <c r="F11" s="4">
        <f t="shared" si="0"/>
        <v>88.872000000000014</v>
      </c>
      <c r="G11" s="4">
        <f t="shared" si="2"/>
        <v>0.04</v>
      </c>
    </row>
    <row r="12" spans="1:10" x14ac:dyDescent="0.2">
      <c r="A12" s="1">
        <v>10</v>
      </c>
      <c r="B12" s="1">
        <v>23</v>
      </c>
      <c r="C12" s="5">
        <f>קבועים!$B$16</f>
        <v>0</v>
      </c>
      <c r="D12" s="5">
        <f>ותק!B11</f>
        <v>0.46</v>
      </c>
      <c r="E12" s="5">
        <f t="shared" si="1"/>
        <v>3.8640000000000003</v>
      </c>
      <c r="F12" s="4">
        <f t="shared" si="0"/>
        <v>88.872000000000014</v>
      </c>
      <c r="G12" s="4">
        <f t="shared" si="2"/>
        <v>0.04</v>
      </c>
    </row>
    <row r="13" spans="1:10" x14ac:dyDescent="0.2">
      <c r="A13" s="1">
        <v>11</v>
      </c>
      <c r="B13" s="1">
        <v>23</v>
      </c>
      <c r="C13" s="5">
        <f>קבועים!$B$16</f>
        <v>0</v>
      </c>
      <c r="D13" s="5">
        <f>ותק!B12</f>
        <v>0.46</v>
      </c>
      <c r="E13" s="5">
        <f t="shared" si="1"/>
        <v>3.8640000000000003</v>
      </c>
      <c r="F13" s="4">
        <f t="shared" si="0"/>
        <v>88.872000000000014</v>
      </c>
      <c r="G13" s="4">
        <f t="shared" si="2"/>
        <v>0.04</v>
      </c>
    </row>
    <row r="14" spans="1:10" x14ac:dyDescent="0.2">
      <c r="A14" s="1">
        <v>12</v>
      </c>
      <c r="B14" s="1">
        <v>23</v>
      </c>
      <c r="C14" s="5">
        <f>קבועים!$B$16</f>
        <v>0</v>
      </c>
      <c r="D14" s="5">
        <f>ותק!B13</f>
        <v>0.46</v>
      </c>
      <c r="E14" s="5">
        <f t="shared" si="1"/>
        <v>3.8640000000000003</v>
      </c>
      <c r="F14" s="4">
        <f t="shared" si="0"/>
        <v>88.872000000000014</v>
      </c>
      <c r="G14" s="4">
        <f t="shared" si="2"/>
        <v>0.04</v>
      </c>
    </row>
    <row r="15" spans="1:10" x14ac:dyDescent="0.2">
      <c r="A15" s="1">
        <v>13</v>
      </c>
      <c r="B15" s="1">
        <v>23</v>
      </c>
      <c r="C15" s="5">
        <f>קבועים!$B$16</f>
        <v>0</v>
      </c>
      <c r="D15" s="5">
        <f>ותק!B14</f>
        <v>0.46</v>
      </c>
      <c r="E15" s="5">
        <f t="shared" si="1"/>
        <v>3.8640000000000003</v>
      </c>
      <c r="F15" s="4">
        <f t="shared" si="0"/>
        <v>88.872000000000014</v>
      </c>
      <c r="G15" s="4">
        <f t="shared" si="2"/>
        <v>0.04</v>
      </c>
    </row>
    <row r="16" spans="1:10" x14ac:dyDescent="0.2">
      <c r="A16" s="1">
        <v>14</v>
      </c>
      <c r="B16" s="1">
        <v>23</v>
      </c>
      <c r="C16" s="5">
        <f>קבועים!$B$16</f>
        <v>0</v>
      </c>
      <c r="D16" s="5">
        <f>ותק!B15</f>
        <v>0.46</v>
      </c>
      <c r="E16" s="5">
        <f t="shared" si="1"/>
        <v>3.8640000000000003</v>
      </c>
      <c r="F16" s="4">
        <f t="shared" si="0"/>
        <v>88.872000000000014</v>
      </c>
      <c r="G16" s="4">
        <f t="shared" si="2"/>
        <v>0.04</v>
      </c>
    </row>
    <row r="17" spans="1:7" x14ac:dyDescent="0.2">
      <c r="A17" s="1">
        <v>15</v>
      </c>
      <c r="B17" s="1">
        <v>23</v>
      </c>
      <c r="C17" s="5">
        <f>קבועים!$B$16</f>
        <v>0</v>
      </c>
      <c r="D17" s="5">
        <f>ותק!B16</f>
        <v>0.46</v>
      </c>
      <c r="E17" s="5">
        <f t="shared" si="1"/>
        <v>3.8640000000000003</v>
      </c>
      <c r="F17" s="4">
        <f t="shared" si="0"/>
        <v>88.872000000000014</v>
      </c>
      <c r="G17" s="4">
        <f t="shared" si="2"/>
        <v>0.04</v>
      </c>
    </row>
    <row r="18" spans="1:7" x14ac:dyDescent="0.2">
      <c r="A18" s="1">
        <v>16</v>
      </c>
      <c r="B18" s="1">
        <v>23</v>
      </c>
      <c r="C18" s="5">
        <f>קבועים!$B$16</f>
        <v>0</v>
      </c>
      <c r="D18" s="5">
        <f>ותק!B17</f>
        <v>0.46</v>
      </c>
      <c r="E18" s="5">
        <f t="shared" si="1"/>
        <v>3.8640000000000003</v>
      </c>
      <c r="F18" s="4">
        <f t="shared" si="0"/>
        <v>88.872000000000014</v>
      </c>
      <c r="G18" s="4">
        <f t="shared" si="2"/>
        <v>0.04</v>
      </c>
    </row>
    <row r="19" spans="1:7" x14ac:dyDescent="0.2">
      <c r="A19" s="1">
        <v>17</v>
      </c>
      <c r="B19" s="1">
        <v>23</v>
      </c>
      <c r="C19" s="5">
        <f>קבועים!$B$16</f>
        <v>0</v>
      </c>
      <c r="D19" s="5">
        <f>ותק!B18</f>
        <v>0.46</v>
      </c>
      <c r="E19" s="5">
        <f t="shared" si="1"/>
        <v>3.8640000000000003</v>
      </c>
      <c r="F19" s="4">
        <f t="shared" si="0"/>
        <v>88.872000000000014</v>
      </c>
      <c r="G19" s="4">
        <f t="shared" si="2"/>
        <v>0.04</v>
      </c>
    </row>
    <row r="20" spans="1:7" x14ac:dyDescent="0.2">
      <c r="A20" s="1">
        <v>18</v>
      </c>
      <c r="B20" s="1">
        <v>23</v>
      </c>
      <c r="C20" s="5">
        <f>קבועים!$B$16</f>
        <v>0</v>
      </c>
      <c r="D20" s="5">
        <f>ותק!B19</f>
        <v>0.46</v>
      </c>
      <c r="E20" s="5">
        <f t="shared" si="1"/>
        <v>3.8640000000000003</v>
      </c>
      <c r="F20" s="4">
        <f t="shared" si="0"/>
        <v>88.872000000000014</v>
      </c>
      <c r="G20" s="4">
        <f t="shared" si="2"/>
        <v>0.04</v>
      </c>
    </row>
    <row r="21" spans="1:7" x14ac:dyDescent="0.2">
      <c r="A21" s="1">
        <v>19</v>
      </c>
      <c r="B21" s="1">
        <v>23</v>
      </c>
      <c r="C21" s="5">
        <f>קבועים!$B$16</f>
        <v>0</v>
      </c>
      <c r="D21" s="5">
        <f>ותק!B20</f>
        <v>0.46</v>
      </c>
      <c r="E21" s="5">
        <f t="shared" si="1"/>
        <v>3.8640000000000003</v>
      </c>
      <c r="F21" s="4">
        <f t="shared" si="0"/>
        <v>88.872000000000014</v>
      </c>
      <c r="G21" s="4">
        <f t="shared" si="2"/>
        <v>0.04</v>
      </c>
    </row>
    <row r="22" spans="1:7" x14ac:dyDescent="0.2">
      <c r="A22" s="1">
        <v>20</v>
      </c>
      <c r="B22" s="1">
        <v>23</v>
      </c>
      <c r="C22" s="5">
        <f>קבועים!$B$16</f>
        <v>0</v>
      </c>
      <c r="D22" s="5">
        <f>ותק!B21</f>
        <v>0.46</v>
      </c>
      <c r="E22" s="5">
        <f t="shared" si="1"/>
        <v>3.8640000000000003</v>
      </c>
      <c r="F22" s="4">
        <f t="shared" si="0"/>
        <v>88.872000000000014</v>
      </c>
      <c r="G22" s="4">
        <f t="shared" si="2"/>
        <v>0.04</v>
      </c>
    </row>
    <row r="23" spans="1:7" x14ac:dyDescent="0.2">
      <c r="A23" s="1">
        <v>21</v>
      </c>
      <c r="B23" s="1">
        <v>23</v>
      </c>
      <c r="C23" s="5">
        <f>קבועים!$B$16</f>
        <v>0</v>
      </c>
      <c r="D23" s="5">
        <f>ותק!B22</f>
        <v>0.46</v>
      </c>
      <c r="E23" s="5">
        <f t="shared" si="1"/>
        <v>3.8640000000000003</v>
      </c>
      <c r="F23" s="4">
        <f t="shared" si="0"/>
        <v>88.872000000000014</v>
      </c>
      <c r="G23" s="4">
        <f t="shared" si="2"/>
        <v>0.04</v>
      </c>
    </row>
    <row r="24" spans="1:7" x14ac:dyDescent="0.2">
      <c r="A24" s="1">
        <v>22</v>
      </c>
      <c r="B24" s="1">
        <v>23</v>
      </c>
      <c r="C24" s="5">
        <f>קבועים!$B$16</f>
        <v>0</v>
      </c>
      <c r="D24" s="5">
        <f>ותק!B23</f>
        <v>0.46</v>
      </c>
      <c r="E24" s="5">
        <f t="shared" si="1"/>
        <v>3.8640000000000003</v>
      </c>
      <c r="F24" s="4">
        <f t="shared" si="0"/>
        <v>88.872000000000014</v>
      </c>
      <c r="G24" s="4">
        <f t="shared" si="2"/>
        <v>0.04</v>
      </c>
    </row>
    <row r="25" spans="1:7" x14ac:dyDescent="0.2">
      <c r="A25" s="1">
        <v>23</v>
      </c>
      <c r="B25" s="1">
        <v>23</v>
      </c>
      <c r="C25" s="5">
        <f>קבועים!$B$16</f>
        <v>0</v>
      </c>
      <c r="D25" s="5">
        <f>ותק!B24</f>
        <v>0.46</v>
      </c>
      <c r="E25" s="5">
        <f t="shared" si="1"/>
        <v>3.8640000000000003</v>
      </c>
      <c r="F25" s="4">
        <f t="shared" si="0"/>
        <v>88.872000000000014</v>
      </c>
      <c r="G25" s="4">
        <f t="shared" si="2"/>
        <v>0.04</v>
      </c>
    </row>
    <row r="26" spans="1:7" x14ac:dyDescent="0.2">
      <c r="A26" s="1">
        <v>24</v>
      </c>
      <c r="B26" s="1">
        <v>23</v>
      </c>
      <c r="C26" s="5">
        <f>קבועים!$B$16</f>
        <v>0</v>
      </c>
      <c r="D26" s="5">
        <f>ותק!B25</f>
        <v>0.46</v>
      </c>
      <c r="E26" s="5">
        <f t="shared" si="1"/>
        <v>3.8640000000000003</v>
      </c>
      <c r="F26" s="4">
        <f t="shared" si="0"/>
        <v>88.872000000000014</v>
      </c>
      <c r="G26" s="4">
        <f t="shared" si="2"/>
        <v>0.04</v>
      </c>
    </row>
    <row r="27" spans="1:7" x14ac:dyDescent="0.2">
      <c r="A27" s="1">
        <v>25</v>
      </c>
      <c r="B27" s="1">
        <v>23</v>
      </c>
      <c r="C27" s="5">
        <f>קבועים!$B$16</f>
        <v>0</v>
      </c>
      <c r="D27" s="5">
        <f>ותק!B26</f>
        <v>0.46</v>
      </c>
      <c r="E27" s="5">
        <f t="shared" si="1"/>
        <v>3.8640000000000003</v>
      </c>
      <c r="F27" s="4">
        <f t="shared" si="0"/>
        <v>88.872000000000014</v>
      </c>
      <c r="G27" s="4">
        <f t="shared" si="2"/>
        <v>0.04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1</vt:i4>
      </vt:variant>
    </vt:vector>
  </HeadingPairs>
  <TitlesOfParts>
    <vt:vector size="7" baseType="lpstr">
      <vt:lpstr>חישוב תשלומים לספק</vt:lpstr>
      <vt:lpstr>קבועים</vt:lpstr>
      <vt:lpstr>ביטוח לאומי</vt:lpstr>
      <vt:lpstr>הבראה</vt:lpstr>
      <vt:lpstr>ותק</vt:lpstr>
      <vt:lpstr>תחשיב ערך חופשה שעתית ממוצע</vt:lpstr>
      <vt:lpstr>'חישוב תשלומים לספק'!WPrint_Area_W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 Singer</dc:creator>
  <cp:lastModifiedBy>Asaf Malkosh</cp:lastModifiedBy>
  <cp:lastPrinted>2024-07-09T08:29:58Z</cp:lastPrinted>
  <dcterms:created xsi:type="dcterms:W3CDTF">2019-11-17T06:43:57Z</dcterms:created>
  <dcterms:modified xsi:type="dcterms:W3CDTF">2024-07-09T08:30:26Z</dcterms:modified>
</cp:coreProperties>
</file>